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https://bihospitalar-my.sharepoint.com/personal/wfbconsultoria_wfbconsultoria_com_br/Documents/CSL/Calculo IV/Demonstrativos/2020_2021/"/>
    </mc:Choice>
  </mc:AlternateContent>
  <xr:revisionPtr revIDLastSave="19" documentId="8_{11D01717-E15B-415C-B290-E54BC8E067EA}" xr6:coauthVersionLast="46" xr6:coauthVersionMax="46" xr10:uidLastSave="{0B9D7071-87AE-4C0F-A2A7-16D2317484C6}"/>
  <bookViews>
    <workbookView xWindow="-120" yWindow="-120" windowWidth="38640" windowHeight="15840" firstSheet="12" activeTab="21" xr2:uid="{304F47E0-058C-48EE-A2FC-2149D8E7CDA6}"/>
  </bookViews>
  <sheets>
    <sheet name="Config" sheetId="8" r:id="rId1"/>
    <sheet name="Resumo Pagamento" sheetId="46" r:id="rId2"/>
    <sheet name="Gerentes-IV" sheetId="22" r:id="rId3"/>
    <sheet name="Representantes ESP" sheetId="26" r:id="rId4"/>
    <sheet name="Representantes-IV" sheetId="29" r:id="rId5"/>
    <sheet name="Demonstrativo Gerente" sheetId="44" r:id="rId6"/>
    <sheet name="Demonstrativo REP HSP" sheetId="36" r:id="rId7"/>
    <sheet name="Demonstrativo REP ESP" sheetId="37" r:id="rId8"/>
    <sheet name="Planilha1" sheetId="47" r:id="rId9"/>
    <sheet name="Demonstrativo REP EMH" sheetId="38" r:id="rId10"/>
    <sheet name="Datas" sheetId="9" r:id="rId11"/>
    <sheet name="Produtos Linhas" sheetId="42" r:id="rId12"/>
    <sheet name="Cota-Demanda" sheetId="25" r:id="rId13"/>
    <sheet name="Demanda-IV-REP" sheetId="30" r:id="rId14"/>
    <sheet name="Demanda-IV-GR" sheetId="43" r:id="rId15"/>
    <sheet name="Cota-Venda" sheetId="31" r:id="rId16"/>
    <sheet name="Venda" sheetId="32" r:id="rId17"/>
    <sheet name="Visitas-Outros" sheetId="33" r:id="rId18"/>
    <sheet name="Valores-Gerentes" sheetId="10" r:id="rId19"/>
    <sheet name="Valores-Representantes-ESP" sheetId="11" r:id="rId20"/>
    <sheet name="Valores-Representantes-HSP" sheetId="12" r:id="rId21"/>
    <sheet name="Valores-Representantes-EMH" sheetId="13" r:id="rId22"/>
  </sheets>
  <definedNames>
    <definedName name="Cobertura_Minima_Gerente">'Gerentes-IV'!$Q$1</definedName>
    <definedName name="Cobertura_Minima_REP">'Representantes-IV'!$S$1</definedName>
    <definedName name="DadosExternos_1" localSheetId="0" hidden="1">Config!$A$2:$A$3</definedName>
    <definedName name="DadosExternos_1" localSheetId="10" hidden="1">Datas!$A$5:$J$6</definedName>
    <definedName name="DadosExternos_1" localSheetId="3" hidden="1">'Representantes ESP'!$A$5:$F$24</definedName>
    <definedName name="DadosExternos_2" localSheetId="0" hidden="1">Config!$B$2:$B$3</definedName>
    <definedName name="DadosExternos_2" localSheetId="15" hidden="1">'Cota-Venda'!$A$5:$H$287</definedName>
    <definedName name="DadosExternos_2" localSheetId="18" hidden="1">'Valores-Gerentes'!$A$5:$N$711</definedName>
    <definedName name="DadosExternos_3" localSheetId="2" hidden="1">'Gerentes-IV'!$A$6:$D$12</definedName>
    <definedName name="DadosExternos_3" localSheetId="4" hidden="1">'Representantes-IV'!$A$9:$F$28</definedName>
    <definedName name="DadosExternos_3" localSheetId="19" hidden="1">'Valores-Representantes-ESP'!$A$5:$N$711</definedName>
    <definedName name="DadosExternos_3" localSheetId="16" hidden="1">Venda!$A$5:$M$445</definedName>
    <definedName name="DadosExternos_4" localSheetId="12" hidden="1">'Cota-Demanda'!$A$5:$N$69</definedName>
    <definedName name="DadosExternos_4" localSheetId="14" hidden="1">'Demanda-IV-GR'!$A$5:$D$47</definedName>
    <definedName name="DadosExternos_4" localSheetId="13" hidden="1">'Demanda-IV-REP'!$A$5:$G$281</definedName>
    <definedName name="DadosExternos_4" localSheetId="11" hidden="1">'Produtos Linhas'!$A$5:$J$22</definedName>
    <definedName name="DadosExternos_4" localSheetId="20" hidden="1">'Valores-Representantes-HSP'!$A$5:$N$711</definedName>
    <definedName name="DadosExternos_4" localSheetId="17" hidden="1">'Visitas-Outros'!$A$5:$Q$24</definedName>
    <definedName name="DadosExternos_5" localSheetId="21" hidden="1">'Valores-Representantes-EMH'!$A$5:$N$711</definedName>
    <definedName name="Garantido_EMH">'Valores-Representantes-EMH'!$A$4:$M$4</definedName>
    <definedName name="Garantido_ESP">'Valores-Representantes-ESP'!$A$4:$M$4</definedName>
    <definedName name="Garantido_Gerentes">'Valores-Gerentes'!$A$4:$M$4</definedName>
    <definedName name="Garantido_HSP">'Valores-Representantes-HSP'!$A$4:$M$4</definedName>
  </definedNames>
  <calcPr calcId="191029"/>
  <pivotCaches>
    <pivotCache cacheId="0" r:id="rId23"/>
    <pivotCache cacheId="1" r:id="rId24"/>
    <pivotCache cacheId="2" r:id="rId25"/>
    <pivotCache cacheId="3" r:id="rId26"/>
    <pivotCache cacheId="4" r:id="rId27"/>
    <pivotCache cacheId="5" r:id="rId2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ta-Venda_5cbab5a6-49b3-46fd-9ea0-ce9b7e7bc111" name="Cota-Venda" connection="Consulta - Cota-Venda(1)"/>
          <x15:modelTable id="Datas_18d9ea22-bf91-4575-835e-fa5a11fc9cfa" name="Datas" connection="Consulta - Datas"/>
          <x15:modelTable id="Demanda_4411e9e7-91e9-40f8-bd13-469032a43639" name="Demanda" connection="Consulta - Demanda"/>
          <x15:modelTable id="Distribuidores_f5b09ae1-51ee-44eb-977d-ac82fa725f7b" name="Distribuidores" connection="Consulta - Distribuidores"/>
          <x15:modelTable id="Estabelecimentos_aa0c2e3f-4c21-4a8d-adbb-e6d8d6efae66" name="Estabelecimentos" connection="Consulta - Estabelecimentos"/>
          <x15:modelTable id="Gerentes_e75f12d7-a03b-4097-8572-5968dbd4db4e" name="Gerentes" connection="Consulta - Gerentes"/>
          <x15:modelTable id="Produtos_8ffc7e5e-60c0-4f1f-9a65-cf23e811bb82" name="Produtos" connection="Consulta - Produtos"/>
          <x15:modelTable id="Produtos-Linhas_5a5cdef5-fa37-4391-b288-0fc61115cc4e" name="Produtos-Linhas" connection="Consulta - Produtos-Linhas"/>
          <x15:modelTable id="Representantes_1a455073-49af-46cf-acf8-ae6106f5619e" name="Representantes" connection="Consulta - Representantes"/>
          <x15:modelTable id="Representantes-EMH_e9efa85c-b22a-45b4-918e-c114121286bc" name="Representantes-EMH" connection="Consulta - Representantes-EMH"/>
          <x15:modelTable id="Representantes-ESP_0cbc174a-55de-47ad-a291-672fa269d7a0" name="Representantes-ESP" connection="Consulta - Representantes-ESP"/>
          <x15:modelTable id="Representantes-HSP_e68f208b-572b-4a05-a645-c738e846b645" name="Representantes-HSP" connection="Consulta - Representantes-HSP"/>
          <x15:modelTable id="Venda_f2eecacd-59cb-4954-b313-a146cb2ac213" name="Venda" connection="Consulta - Venda"/>
          <x15:modelTable id="Visitas-Outros_647424e6-15ce-4bee-adfd-25a8c1649783" name="Visitas-Outros" connection="Consulta - Visitas-Outros"/>
          <x15:modelTable id="Cota-Demanda_b1c825be-bd1e-4f9a-b791-c6d60c91e587" name="Cota-Demanda" connection="Consulta - Cota-Demanda"/>
          <x15:modelTable id="Valores-Gerentes_4c231402-228a-4220-bfdc-420fd26f171d" name="Valores-Gerentes" connection="Consulta - Valores-Gerentes"/>
          <x15:modelTable id="Valores-Representantes-EMH_bb5b58dc-115b-43ee-af38-7aa5ef4e2d9b" name="Valores-Representantes-EMH" connection="Consulta - Valores-Representantes-EMH"/>
          <x15:modelTable id="Valores-Representantes-HSP_2c6bc011-853b-455a-a6d4-b8b254394b0f" name="Valores-Representantes-HSP" connection="Consulta - Valores-Representantes-HSP"/>
          <x15:modelTable id="Valores-Representantes-ESP_0dfc284a-78cf-4c2d-938a-81a4202d6677" name="Valores-Representantes-ESP" connection="Consulta - Valores-Representantes-ESP"/>
          <x15:modelTable id="Representantes-IV_74af0e13-79d4-4ac6-9f48-98e98eb6de25" name="Representantes-IV" connection="Consulta - Representantes-IV"/>
          <x15:modelTable id="Demanda-IV-REP_e0f315f7-d5b0-4994-b42d-9bbe95082b55" name="Demanda-IV-REP" connection="Consulta - Demanda-IV-REP"/>
        </x15:modelTables>
        <x15:modelRelationships>
          <x15:modelRelationship fromTable="Demanda" fromColumn="#FK-AnoMes-Unv" toTable="Datas" toColumn="#PK-AnoMes-Unv"/>
          <x15:modelRelationship fromTable="Demanda" fromColumn="#FK-Cod-Linha" toTable="Produtos-Linhas" toColumn="#PK-Cod-Linha"/>
          <x15:modelRelationship fromTable="Demanda" fromColumn="#FK-Cod-Produto" toTable="Produtos" toColumn="#PK-Cod-Produto"/>
          <x15:modelRelationship fromTable="Demanda" fromColumn="#FK-Email-Gerente" toTable="Gerentes" toColumn="#FK-Email-Gerente"/>
          <x15:modelRelationship fromTable="Demanda" fromColumn="#FK-Email-Representante-ESP" toTable="Representantes-ESP" toColumn="#PK-Email-Representante-ESP"/>
          <x15:modelRelationship fromTable="Demanda" fromColumn="#FK-Email-Representante-EMH" toTable="Representantes-EMH" toColumn="#PK-Email-Representante-EMH"/>
          <x15:modelRelationship fromTable="Demanda" fromColumn="#FK-Email-Representante-HSP" toTable="Representantes-HSP" toColumn="#PK-Email-Representante-HSP"/>
          <x15:modelRelationship fromTable="Demanda" fromColumn="#FK-CNPJ-Estabelecimento" toTable="Estabelecimentos" toColumn="#PK-CNPJ-Estabelecimento"/>
          <x15:modelRelationship fromTable="Demanda" fromColumn="#FK-CNPJ-Distribuidor" toTable="Distribuidores" toColumn="#PK-CNPJ-Distribuidor"/>
          <x15:modelRelationship fromTable="Venda" fromColumn="#FK-AnoMes-Unv" toTable="Datas" toColumn="#PK-AnoMes-Unv"/>
          <x15:modelRelationship fromTable="Venda" fromColumn="#FK-Cod-Produto" toTable="Produtos" toColumn="#PK-Cod-Produto"/>
          <x15:modelRelationship fromTable="Venda" fromColumn="#FK-Cod-Linha" toTable="Produtos-Linhas" toColumn="#PK-Cod-Linha"/>
          <x15:modelRelationship fromTable="Venda" fromColumn="#FK-Email-Gerente" toTable="Gerentes" toColumn="#FK-Email-Gerente"/>
          <x15:modelRelationship fromTable="Venda" fromColumn="#FK-Email-Representante" toTable="Representantes" toColumn="#PK-Email-Representante"/>
          <x15:modelRelationship fromTable="Venda" fromColumn="#FK-CNPJ-Estabelecimento" toTable="Estabelecimentos" toColumn="#PK-CNPJ-Estabelecimento"/>
          <x15:modelRelationship fromTable="Visitas-Outros" fromColumn="#FK-AnoMes-Unv" toTable="Datas" toColumn="#PK-AnoMes-Unv"/>
          <x15:modelRelationship fromTable="Visitas-Outros" fromColumn="#FK-Email-Gerente" toTable="Gerentes" toColumn="#FK-Email-Gerente"/>
          <x15:modelRelationship fromTable="Visitas-Outros" fromColumn="#FK-Email-Representante_ESP" toTable="Representantes-ESP" toColumn="#PK-Email-Representante-ESP"/>
          <x15:modelRelationship fromTable="Visitas-Outros" fromColumn="#FK-Email-Representante_EMH" toTable="Representantes-EMH" toColumn="#PK-Email-Representante-EMH"/>
          <x15:modelRelationship fromTable="Visitas-Outros" fromColumn="#FK-Email-Representante_HSP" toTable="Representantes-HSP" toColumn="#PK-Email-Representante-HSP"/>
          <x15:modelRelationship fromTable="Visitas-Outros" fromColumn="#FK-Email-Representante" toTable="Representantes" toColumn="#PK-Email-Representante"/>
          <x15:modelRelationship fromTable="Cota-Venda" fromColumn="#FK-AnoMes-Unv" toTable="Datas" toColumn="#PK-AnoMes-Unv"/>
          <x15:modelRelationship fromTable="Cota-Venda" fromColumn="#FK-Cod-Produto" toTable="Produtos" toColumn="#PK-Cod-Produto"/>
          <x15:modelRelationship fromTable="Cota-Venda" fromColumn="#FK-Cod-Linha" toTable="Produtos-Linhas" toColumn="#PK-Cod-Linha"/>
          <x15:modelRelationship fromTable="Cota-Venda" fromColumn="#FK-Email-Gerente" toTable="Gerentes" toColumn="#FK-Email-Gerente"/>
          <x15:modelRelationship fromTable="Cota-Venda" fromColumn="#FK-Email-Representante" toTable="Representantes" toColumn="#PK-Email-Representante"/>
          <x15:modelRelationship fromTable="Cota-Demanda" fromColumn="#FK-AnoMes-Unv" toTable="Datas" toColumn="#PK-AnoMes-Unv"/>
          <x15:modelRelationship fromTable="Cota-Demanda" fromColumn="#FK-Cod-Linha" toTable="Produtos-Linhas" toColumn="#PK-Cod-Linha"/>
          <x15:modelRelationship fromTable="Cota-Demanda" fromColumn="#FK-Email-Gerente" toTable="Gerentes" toColumn="#FK-Email-Gerente"/>
          <x15:modelRelationship fromTable="Cota-Demanda" fromColumn="#FK-Email-Representante" toTable="Representantes" toColumn="Representante"/>
          <x15:modelRelationship fromTable="Cota-Demanda" fromColumn="#FK-Email-Representante" toTable="Representantes-ESP" toColumn="#PK-Email-Representante-ESP"/>
          <x15:modelRelationship fromTable="Cota-Demanda" fromColumn="#FK-Email-Representante_EMH" toTable="Representantes-EMH" toColumn="#PK-Email-Representante-EMH"/>
          <x15:modelRelationship fromTable="Cota-Demanda" fromColumn="#FK-Email-Representante_HSP" toTable="Representantes-HSP" toColumn="#PK-Email-Representante-HSP"/>
          <x15:modelRelationship fromTable="Cota-Demanda" fromColumn="#FK-Email-Representante" toTable="Representantes-IV" toColumn="#PK-Email-Representante"/>
          <x15:modelRelationship fromTable="Demanda-IV-REP" fromColumn="#FK-AnoMes-Unv" toTable="Representantes-IV" toColumn="#PK-Email-Representante"/>
          <x15:modelRelationship fromTable="Demanda-IV-REP" fromColumn="#FK-Cod-Linha" toTable="Produtos-Linhas" toColumn="#PK-Cod-Linha"/>
          <x15:modelRelationship fromTable="Demanda-IV-REP" fromColumn="#FK-AnoMes-Unv" toTable="Datas" toColumn="#PK-AnoMes-Unv"/>
          <x15:modelRelationship fromTable="Demanda-IV-REP" fromColumn="#FK-Email-Representante" toTable="Representantes" toColumn="#PK-Email-Representan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6" i="25" l="1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G10" i="29"/>
  <c r="G11" i="29"/>
  <c r="G12" i="29"/>
  <c r="G21" i="29"/>
  <c r="G22" i="29"/>
  <c r="G23" i="29"/>
  <c r="G13" i="29"/>
  <c r="G27" i="29"/>
  <c r="G24" i="29"/>
  <c r="G14" i="29"/>
  <c r="G15" i="29"/>
  <c r="G16" i="29"/>
  <c r="G17" i="29"/>
  <c r="G18" i="29"/>
  <c r="G25" i="29"/>
  <c r="G19" i="29"/>
  <c r="G20" i="29"/>
  <c r="G26" i="29"/>
  <c r="G28" i="29"/>
  <c r="H10" i="29"/>
  <c r="H11" i="29"/>
  <c r="H12" i="29"/>
  <c r="H21" i="29"/>
  <c r="H22" i="29"/>
  <c r="H23" i="29"/>
  <c r="H13" i="29"/>
  <c r="H27" i="29"/>
  <c r="H24" i="29"/>
  <c r="H14" i="29"/>
  <c r="H15" i="29"/>
  <c r="H16" i="29"/>
  <c r="H17" i="29"/>
  <c r="H18" i="29"/>
  <c r="H25" i="29"/>
  <c r="H19" i="29"/>
  <c r="H20" i="29"/>
  <c r="H26" i="29"/>
  <c r="H28" i="29"/>
  <c r="I10" i="29"/>
  <c r="I11" i="29"/>
  <c r="I12" i="29"/>
  <c r="I21" i="29"/>
  <c r="I22" i="29"/>
  <c r="I23" i="29"/>
  <c r="I13" i="29"/>
  <c r="I27" i="29"/>
  <c r="I24" i="29"/>
  <c r="I14" i="29"/>
  <c r="I15" i="29"/>
  <c r="I16" i="29"/>
  <c r="I17" i="29"/>
  <c r="I18" i="29"/>
  <c r="I25" i="29"/>
  <c r="I19" i="29"/>
  <c r="I20" i="29"/>
  <c r="I26" i="29"/>
  <c r="I28" i="29"/>
  <c r="J10" i="29"/>
  <c r="J11" i="29"/>
  <c r="J12" i="29"/>
  <c r="J21" i="29"/>
  <c r="J22" i="29"/>
  <c r="J23" i="29"/>
  <c r="J13" i="29"/>
  <c r="J27" i="29"/>
  <c r="J24" i="29"/>
  <c r="J14" i="29"/>
  <c r="J15" i="29"/>
  <c r="J16" i="29"/>
  <c r="J17" i="29"/>
  <c r="J18" i="29"/>
  <c r="J25" i="29"/>
  <c r="J19" i="29"/>
  <c r="J20" i="29"/>
  <c r="J26" i="29"/>
  <c r="J28" i="29"/>
  <c r="K10" i="29"/>
  <c r="K11" i="29"/>
  <c r="K12" i="29"/>
  <c r="K21" i="29"/>
  <c r="K22" i="29"/>
  <c r="K23" i="29"/>
  <c r="K13" i="29"/>
  <c r="K27" i="29"/>
  <c r="K24" i="29"/>
  <c r="K14" i="29"/>
  <c r="K15" i="29"/>
  <c r="K16" i="29"/>
  <c r="K17" i="29"/>
  <c r="K18" i="29"/>
  <c r="K25" i="29"/>
  <c r="K19" i="29"/>
  <c r="K20" i="29"/>
  <c r="K26" i="29"/>
  <c r="K28" i="29"/>
  <c r="L10" i="29"/>
  <c r="L11" i="29"/>
  <c r="L12" i="29"/>
  <c r="L21" i="29"/>
  <c r="L22" i="29"/>
  <c r="L23" i="29"/>
  <c r="L13" i="29"/>
  <c r="L27" i="29"/>
  <c r="L24" i="29"/>
  <c r="L14" i="29"/>
  <c r="L15" i="29"/>
  <c r="L16" i="29"/>
  <c r="L17" i="29"/>
  <c r="L18" i="29"/>
  <c r="L25" i="29"/>
  <c r="L19" i="29"/>
  <c r="L20" i="29"/>
  <c r="L26" i="29"/>
  <c r="L28" i="29"/>
  <c r="M10" i="29"/>
  <c r="R10" i="29" s="1"/>
  <c r="W10" i="29" s="1"/>
  <c r="M11" i="29"/>
  <c r="M12" i="29"/>
  <c r="M21" i="29"/>
  <c r="M22" i="29"/>
  <c r="M23" i="29"/>
  <c r="M13" i="29"/>
  <c r="M27" i="29"/>
  <c r="M24" i="29"/>
  <c r="R24" i="29" s="1"/>
  <c r="M14" i="29"/>
  <c r="M15" i="29"/>
  <c r="M16" i="29"/>
  <c r="M17" i="29"/>
  <c r="M18" i="29"/>
  <c r="M25" i="29"/>
  <c r="M19" i="29"/>
  <c r="R19" i="29" s="1"/>
  <c r="W19" i="29" s="1"/>
  <c r="M20" i="29"/>
  <c r="R20" i="29" s="1"/>
  <c r="W20" i="29" s="1"/>
  <c r="M26" i="29"/>
  <c r="M28" i="29"/>
  <c r="N10" i="29"/>
  <c r="N11" i="29"/>
  <c r="N12" i="29"/>
  <c r="N21" i="29"/>
  <c r="N22" i="29"/>
  <c r="S22" i="29" s="1"/>
  <c r="X22" i="29" s="1"/>
  <c r="N23" i="29"/>
  <c r="S23" i="29" s="1"/>
  <c r="X23" i="29" s="1"/>
  <c r="N13" i="29"/>
  <c r="N27" i="29"/>
  <c r="N24" i="29"/>
  <c r="N14" i="29"/>
  <c r="N15" i="29"/>
  <c r="N16" i="29"/>
  <c r="N17" i="29"/>
  <c r="N18" i="29"/>
  <c r="S18" i="29" s="1"/>
  <c r="N25" i="29"/>
  <c r="N19" i="29"/>
  <c r="N20" i="29"/>
  <c r="S20" i="29" s="1"/>
  <c r="N26" i="29"/>
  <c r="N28" i="29"/>
  <c r="O10" i="29"/>
  <c r="O11" i="29"/>
  <c r="O12" i="29"/>
  <c r="T12" i="29" s="1"/>
  <c r="O21" i="29"/>
  <c r="O22" i="29"/>
  <c r="O23" i="29"/>
  <c r="T23" i="29" s="1"/>
  <c r="Y23" i="29" s="1"/>
  <c r="O13" i="29"/>
  <c r="O27" i="29"/>
  <c r="O24" i="29"/>
  <c r="O14" i="29"/>
  <c r="O15" i="29"/>
  <c r="T15" i="29" s="1"/>
  <c r="O16" i="29"/>
  <c r="O17" i="29"/>
  <c r="O18" i="29"/>
  <c r="T18" i="29" s="1"/>
  <c r="O25" i="29"/>
  <c r="O19" i="29"/>
  <c r="O20" i="29"/>
  <c r="O26" i="29"/>
  <c r="T26" i="29" s="1"/>
  <c r="Y26" i="29" s="1"/>
  <c r="O28" i="29"/>
  <c r="T28" i="29" s="1"/>
  <c r="P10" i="29"/>
  <c r="P11" i="29"/>
  <c r="P12" i="29"/>
  <c r="U12" i="29" s="1"/>
  <c r="Z12" i="29" s="1"/>
  <c r="P21" i="29"/>
  <c r="P22" i="29"/>
  <c r="P23" i="29"/>
  <c r="P13" i="29"/>
  <c r="U13" i="29" s="1"/>
  <c r="Z13" i="29" s="1"/>
  <c r="P27" i="29"/>
  <c r="U27" i="29" s="1"/>
  <c r="P24" i="29"/>
  <c r="P14" i="29"/>
  <c r="P15" i="29"/>
  <c r="U15" i="29" s="1"/>
  <c r="Z15" i="29" s="1"/>
  <c r="P16" i="29"/>
  <c r="P17" i="29"/>
  <c r="P18" i="29"/>
  <c r="P25" i="29"/>
  <c r="P19" i="29"/>
  <c r="U19" i="29" s="1"/>
  <c r="Z19" i="29" s="1"/>
  <c r="P20" i="29"/>
  <c r="P26" i="29"/>
  <c r="P28" i="29"/>
  <c r="U28" i="29" s="1"/>
  <c r="Q10" i="29"/>
  <c r="Q11" i="29"/>
  <c r="Q12" i="29"/>
  <c r="Q21" i="29"/>
  <c r="Q22" i="29"/>
  <c r="V22" i="29" s="1"/>
  <c r="Q23" i="29"/>
  <c r="V23" i="29" s="1"/>
  <c r="Q13" i="29"/>
  <c r="Q27" i="29"/>
  <c r="V27" i="29" s="1"/>
  <c r="Q24" i="29"/>
  <c r="Q14" i="29"/>
  <c r="Q15" i="29"/>
  <c r="Q16" i="29"/>
  <c r="Q17" i="29"/>
  <c r="V17" i="29" s="1"/>
  <c r="Q18" i="29"/>
  <c r="Q25" i="29"/>
  <c r="Q19" i="29"/>
  <c r="V19" i="29" s="1"/>
  <c r="Q20" i="29"/>
  <c r="Q26" i="29"/>
  <c r="Q28" i="29"/>
  <c r="R11" i="29"/>
  <c r="R12" i="29"/>
  <c r="W12" i="29" s="1"/>
  <c r="R21" i="29"/>
  <c r="R22" i="29"/>
  <c r="R23" i="29"/>
  <c r="R13" i="29"/>
  <c r="R14" i="29"/>
  <c r="R15" i="29"/>
  <c r="W15" i="29" s="1"/>
  <c r="R16" i="29"/>
  <c r="R17" i="29"/>
  <c r="W17" i="29" s="1"/>
  <c r="R18" i="29"/>
  <c r="W18" i="29" s="1"/>
  <c r="R25" i="29"/>
  <c r="R26" i="29"/>
  <c r="R28" i="29"/>
  <c r="S10" i="29"/>
  <c r="S11" i="29"/>
  <c r="S12" i="29"/>
  <c r="S21" i="29"/>
  <c r="X21" i="29" s="1"/>
  <c r="S13" i="29"/>
  <c r="S27" i="29"/>
  <c r="S24" i="29"/>
  <c r="X24" i="29" s="1"/>
  <c r="S14" i="29"/>
  <c r="S15" i="29"/>
  <c r="S16" i="29"/>
  <c r="S25" i="29"/>
  <c r="S19" i="29"/>
  <c r="S26" i="29"/>
  <c r="X26" i="29" s="1"/>
  <c r="S28" i="29"/>
  <c r="T10" i="29"/>
  <c r="T21" i="29"/>
  <c r="Y21" i="29" s="1"/>
  <c r="T22" i="29"/>
  <c r="Y22" i="29" s="1"/>
  <c r="T13" i="29"/>
  <c r="T27" i="29"/>
  <c r="T24" i="29"/>
  <c r="Y24" i="29" s="1"/>
  <c r="T16" i="29"/>
  <c r="T17" i="29"/>
  <c r="T25" i="29"/>
  <c r="Y25" i="29" s="1"/>
  <c r="T19" i="29"/>
  <c r="T20" i="29"/>
  <c r="U10" i="29"/>
  <c r="Z10" i="29" s="1"/>
  <c r="U11" i="29"/>
  <c r="Z11" i="29" s="1"/>
  <c r="U21" i="29"/>
  <c r="U22" i="29"/>
  <c r="U23" i="29"/>
  <c r="U24" i="29"/>
  <c r="U14" i="29"/>
  <c r="Z14" i="29" s="1"/>
  <c r="U16" i="29"/>
  <c r="Z16" i="29" s="1"/>
  <c r="U17" i="29"/>
  <c r="U18" i="29"/>
  <c r="Z18" i="29" s="1"/>
  <c r="U20" i="29"/>
  <c r="Z20" i="29" s="1"/>
  <c r="U26" i="29"/>
  <c r="V10" i="29"/>
  <c r="V11" i="29"/>
  <c r="V12" i="29"/>
  <c r="V13" i="29"/>
  <c r="V24" i="29"/>
  <c r="V14" i="29"/>
  <c r="V15" i="29"/>
  <c r="V25" i="29"/>
  <c r="V20" i="29"/>
  <c r="V26" i="29"/>
  <c r="W11" i="29"/>
  <c r="W13" i="29"/>
  <c r="W14" i="29"/>
  <c r="W16" i="29"/>
  <c r="X25" i="29"/>
  <c r="Z17" i="29"/>
  <c r="AB10" i="29"/>
  <c r="AG10" i="29" s="1"/>
  <c r="AB11" i="29"/>
  <c r="AB12" i="29"/>
  <c r="AG12" i="29" s="1"/>
  <c r="AB21" i="29"/>
  <c r="AB22" i="29"/>
  <c r="AB23" i="29"/>
  <c r="AB13" i="29"/>
  <c r="AB27" i="29"/>
  <c r="AB24" i="29"/>
  <c r="AG24" i="29" s="1"/>
  <c r="AB14" i="29"/>
  <c r="AB15" i="29"/>
  <c r="AG15" i="29" s="1"/>
  <c r="AB16" i="29"/>
  <c r="AG16" i="29" s="1"/>
  <c r="AB17" i="29"/>
  <c r="AB18" i="29"/>
  <c r="AB25" i="29"/>
  <c r="AB19" i="29"/>
  <c r="AB20" i="29"/>
  <c r="AG20" i="29" s="1"/>
  <c r="AB26" i="29"/>
  <c r="AB28" i="29"/>
  <c r="AG28" i="29" s="1"/>
  <c r="AC10" i="29"/>
  <c r="AH10" i="29" s="1"/>
  <c r="AC11" i="29"/>
  <c r="AC12" i="29"/>
  <c r="AC21" i="29"/>
  <c r="AH21" i="29" s="1"/>
  <c r="AC22" i="29"/>
  <c r="AC23" i="29"/>
  <c r="AC13" i="29"/>
  <c r="AC27" i="29"/>
  <c r="AH27" i="29" s="1"/>
  <c r="AC24" i="29"/>
  <c r="AH24" i="29" s="1"/>
  <c r="AC14" i="29"/>
  <c r="AC15" i="29"/>
  <c r="AC16" i="29"/>
  <c r="AH16" i="29" s="1"/>
  <c r="AC17" i="29"/>
  <c r="AC18" i="29"/>
  <c r="AH18" i="29" s="1"/>
  <c r="AC25" i="29"/>
  <c r="AC19" i="29"/>
  <c r="AH19" i="29" s="1"/>
  <c r="AC20" i="29"/>
  <c r="AH20" i="29" s="1"/>
  <c r="AC26" i="29"/>
  <c r="AC28" i="29"/>
  <c r="AD10" i="29"/>
  <c r="AI10" i="29" s="1"/>
  <c r="AD11" i="29"/>
  <c r="AD12" i="29"/>
  <c r="AI12" i="29" s="1"/>
  <c r="AD21" i="29"/>
  <c r="AD22" i="29"/>
  <c r="AI22" i="29" s="1"/>
  <c r="AD23" i="29"/>
  <c r="AI23" i="29" s="1"/>
  <c r="AD13" i="29"/>
  <c r="AD27" i="29"/>
  <c r="AD24" i="29"/>
  <c r="AI24" i="29" s="1"/>
  <c r="AD14" i="29"/>
  <c r="AD15" i="29"/>
  <c r="AI15" i="29" s="1"/>
  <c r="AD16" i="29"/>
  <c r="AD17" i="29"/>
  <c r="AI17" i="29" s="1"/>
  <c r="AD18" i="29"/>
  <c r="AI18" i="29" s="1"/>
  <c r="AD25" i="29"/>
  <c r="AD19" i="29"/>
  <c r="AI19" i="29" s="1"/>
  <c r="AD20" i="29"/>
  <c r="AI20" i="29" s="1"/>
  <c r="AD26" i="29"/>
  <c r="AD28" i="29"/>
  <c r="AI28" i="29" s="1"/>
  <c r="AE10" i="29"/>
  <c r="AE11" i="29"/>
  <c r="AJ11" i="29" s="1"/>
  <c r="AE12" i="29"/>
  <c r="AJ12" i="29" s="1"/>
  <c r="AE21" i="29"/>
  <c r="AE22" i="29"/>
  <c r="AJ22" i="29" s="1"/>
  <c r="AE23" i="29"/>
  <c r="AJ23" i="29" s="1"/>
  <c r="AE13" i="29"/>
  <c r="AE27" i="29"/>
  <c r="AJ27" i="29" s="1"/>
  <c r="AE24" i="29"/>
  <c r="AE14" i="29"/>
  <c r="AJ14" i="29" s="1"/>
  <c r="AE15" i="29"/>
  <c r="AJ15" i="29" s="1"/>
  <c r="AE16" i="29"/>
  <c r="AJ16" i="29" s="1"/>
  <c r="AE17" i="29"/>
  <c r="AJ17" i="29" s="1"/>
  <c r="AE18" i="29"/>
  <c r="AJ18" i="29" s="1"/>
  <c r="AE25" i="29"/>
  <c r="AE19" i="29"/>
  <c r="AJ19" i="29" s="1"/>
  <c r="AE20" i="29"/>
  <c r="AJ20" i="29" s="1"/>
  <c r="AE26" i="29"/>
  <c r="AJ26" i="29" s="1"/>
  <c r="AE28" i="29"/>
  <c r="AJ28" i="29" s="1"/>
  <c r="AF10" i="29"/>
  <c r="AK10" i="29" s="1"/>
  <c r="AF11" i="29"/>
  <c r="AF12" i="29"/>
  <c r="AK12" i="29" s="1"/>
  <c r="AF21" i="29"/>
  <c r="AF22" i="29"/>
  <c r="AK22" i="29" s="1"/>
  <c r="AF23" i="29"/>
  <c r="AK23" i="29" s="1"/>
  <c r="AF13" i="29"/>
  <c r="AK13" i="29" s="1"/>
  <c r="AF27" i="29"/>
  <c r="AK27" i="29" s="1"/>
  <c r="AF24" i="29"/>
  <c r="AK24" i="29" s="1"/>
  <c r="AF14" i="29"/>
  <c r="AK14" i="29" s="1"/>
  <c r="AF15" i="29"/>
  <c r="AK15" i="29" s="1"/>
  <c r="AF16" i="29"/>
  <c r="AK16" i="29" s="1"/>
  <c r="AF17" i="29"/>
  <c r="AK17" i="29" s="1"/>
  <c r="AF18" i="29"/>
  <c r="AF25" i="29"/>
  <c r="AK25" i="29" s="1"/>
  <c r="AF19" i="29"/>
  <c r="AK19" i="29" s="1"/>
  <c r="AF20" i="29"/>
  <c r="AK20" i="29" s="1"/>
  <c r="AF26" i="29"/>
  <c r="AK26" i="29" s="1"/>
  <c r="AF28" i="29"/>
  <c r="AK28" i="29" s="1"/>
  <c r="AG11" i="29"/>
  <c r="AG22" i="29"/>
  <c r="AG23" i="29"/>
  <c r="AG13" i="29"/>
  <c r="AG27" i="29"/>
  <c r="AG14" i="29"/>
  <c r="AG17" i="29"/>
  <c r="AG18" i="29"/>
  <c r="AG25" i="29"/>
  <c r="AG19" i="29"/>
  <c r="AG26" i="29"/>
  <c r="AH11" i="29"/>
  <c r="AH12" i="29"/>
  <c r="AH22" i="29"/>
  <c r="AH23" i="29"/>
  <c r="AH13" i="29"/>
  <c r="AH14" i="29"/>
  <c r="AH15" i="29"/>
  <c r="AH17" i="29"/>
  <c r="AH25" i="29"/>
  <c r="AH26" i="29"/>
  <c r="AH28" i="29"/>
  <c r="AI11" i="29"/>
  <c r="AI21" i="29"/>
  <c r="AI13" i="29"/>
  <c r="AI27" i="29"/>
  <c r="AI14" i="29"/>
  <c r="AI16" i="29"/>
  <c r="AI25" i="29"/>
  <c r="AI26" i="29"/>
  <c r="AJ10" i="29"/>
  <c r="AJ13" i="29"/>
  <c r="AJ24" i="29"/>
  <c r="AJ25" i="29"/>
  <c r="AK11" i="29"/>
  <c r="AK18" i="29"/>
  <c r="AQ10" i="29"/>
  <c r="AQ11" i="29"/>
  <c r="AQ12" i="29"/>
  <c r="AQ21" i="29"/>
  <c r="AQ22" i="29"/>
  <c r="AQ23" i="29"/>
  <c r="AQ13" i="29"/>
  <c r="AQ27" i="29"/>
  <c r="AQ24" i="29"/>
  <c r="AQ14" i="29"/>
  <c r="AQ15" i="29"/>
  <c r="AQ16" i="29"/>
  <c r="AQ17" i="29"/>
  <c r="AQ18" i="29"/>
  <c r="AQ25" i="29"/>
  <c r="AQ19" i="29"/>
  <c r="AQ20" i="29"/>
  <c r="AQ26" i="29"/>
  <c r="AQ28" i="29"/>
  <c r="AR10" i="29"/>
  <c r="AR11" i="29"/>
  <c r="AR12" i="29"/>
  <c r="AS12" i="29" s="1"/>
  <c r="AT12" i="29" s="1"/>
  <c r="AR21" i="29"/>
  <c r="AR22" i="29"/>
  <c r="AR23" i="29"/>
  <c r="AR13" i="29"/>
  <c r="AS13" i="29" s="1"/>
  <c r="AT13" i="29" s="1"/>
  <c r="AR27" i="29"/>
  <c r="AS27" i="29" s="1"/>
  <c r="AT27" i="29" s="1"/>
  <c r="AR24" i="29"/>
  <c r="AR14" i="29"/>
  <c r="AR15" i="29"/>
  <c r="AS15" i="29" s="1"/>
  <c r="AT15" i="29" s="1"/>
  <c r="AR16" i="29"/>
  <c r="AR17" i="29"/>
  <c r="AR18" i="29"/>
  <c r="AR25" i="29"/>
  <c r="AS25" i="29" s="1"/>
  <c r="AT25" i="29" s="1"/>
  <c r="AR19" i="29"/>
  <c r="AR20" i="29"/>
  <c r="AR26" i="29"/>
  <c r="AR28" i="29"/>
  <c r="AS28" i="29" s="1"/>
  <c r="AT28" i="29" s="1"/>
  <c r="AS21" i="29"/>
  <c r="AT21" i="29" s="1"/>
  <c r="AS16" i="29"/>
  <c r="AT16" i="29" s="1"/>
  <c r="AS19" i="29"/>
  <c r="AT19" i="29" s="1"/>
  <c r="AU10" i="29"/>
  <c r="AU11" i="29"/>
  <c r="AU12" i="29"/>
  <c r="AU21" i="29"/>
  <c r="AU22" i="29"/>
  <c r="AU23" i="29"/>
  <c r="AU13" i="29"/>
  <c r="AU27" i="29"/>
  <c r="AU24" i="29"/>
  <c r="AU14" i="29"/>
  <c r="AU15" i="29"/>
  <c r="AU16" i="29"/>
  <c r="AU17" i="29"/>
  <c r="AU18" i="29"/>
  <c r="AU25" i="29"/>
  <c r="AU19" i="29"/>
  <c r="AU20" i="29"/>
  <c r="AU26" i="29"/>
  <c r="AU28" i="29"/>
  <c r="AV10" i="29"/>
  <c r="AW10" i="29" s="1"/>
  <c r="AV11" i="29"/>
  <c r="AV12" i="29"/>
  <c r="AV21" i="29"/>
  <c r="AV22" i="29"/>
  <c r="AW22" i="29" s="1"/>
  <c r="AV23" i="29"/>
  <c r="AV13" i="29"/>
  <c r="AV27" i="29"/>
  <c r="AV24" i="29"/>
  <c r="AW24" i="29" s="1"/>
  <c r="AV14" i="29"/>
  <c r="AV15" i="29"/>
  <c r="AV16" i="29"/>
  <c r="AV17" i="29"/>
  <c r="AW17" i="29" s="1"/>
  <c r="AV18" i="29"/>
  <c r="AV25" i="29"/>
  <c r="AV19" i="29"/>
  <c r="AV20" i="29"/>
  <c r="AV26" i="29"/>
  <c r="AV28" i="29"/>
  <c r="AW16" i="29"/>
  <c r="AY10" i="29"/>
  <c r="AY11" i="29"/>
  <c r="AY12" i="29"/>
  <c r="AY21" i="29"/>
  <c r="AY22" i="29"/>
  <c r="AY23" i="29"/>
  <c r="AY13" i="29"/>
  <c r="AY27" i="29"/>
  <c r="AY24" i="29"/>
  <c r="AY14" i="29"/>
  <c r="AY15" i="29"/>
  <c r="AY16" i="29"/>
  <c r="AY17" i="29"/>
  <c r="AY18" i="29"/>
  <c r="AY25" i="29"/>
  <c r="AY19" i="29"/>
  <c r="AY20" i="29"/>
  <c r="AY26" i="29"/>
  <c r="AY28" i="29"/>
  <c r="BA10" i="29"/>
  <c r="BA11" i="29"/>
  <c r="BA12" i="29"/>
  <c r="BA21" i="29"/>
  <c r="BA22" i="29"/>
  <c r="BA23" i="29"/>
  <c r="BA13" i="29"/>
  <c r="BA27" i="29"/>
  <c r="BA24" i="29"/>
  <c r="BA14" i="29"/>
  <c r="BA15" i="29"/>
  <c r="BA16" i="29"/>
  <c r="BA17" i="29"/>
  <c r="BA18" i="29"/>
  <c r="BA25" i="29"/>
  <c r="BA19" i="29"/>
  <c r="BA20" i="29"/>
  <c r="BA26" i="29"/>
  <c r="BA28" i="29"/>
  <c r="BC10" i="29"/>
  <c r="BC11" i="29"/>
  <c r="BC12" i="29"/>
  <c r="BC21" i="29"/>
  <c r="BC22" i="29"/>
  <c r="BC23" i="29"/>
  <c r="BC13" i="29"/>
  <c r="BC27" i="29"/>
  <c r="BC24" i="29"/>
  <c r="BC14" i="29"/>
  <c r="BC15" i="29"/>
  <c r="BC16" i="29"/>
  <c r="BC17" i="29"/>
  <c r="BC18" i="29"/>
  <c r="BC25" i="29"/>
  <c r="BC19" i="29"/>
  <c r="BC20" i="29"/>
  <c r="BC26" i="29"/>
  <c r="BC28" i="29"/>
  <c r="BE10" i="29"/>
  <c r="BE11" i="29"/>
  <c r="BE12" i="29"/>
  <c r="BE21" i="29"/>
  <c r="BE22" i="29"/>
  <c r="BE23" i="29"/>
  <c r="BE13" i="29"/>
  <c r="BE27" i="29"/>
  <c r="BE24" i="29"/>
  <c r="BE14" i="29"/>
  <c r="BE15" i="29"/>
  <c r="BE16" i="29"/>
  <c r="BE17" i="29"/>
  <c r="BE18" i="29"/>
  <c r="BE25" i="29"/>
  <c r="BE19" i="29"/>
  <c r="BE20" i="29"/>
  <c r="BE26" i="29"/>
  <c r="BE28" i="29"/>
  <c r="G6" i="26"/>
  <c r="G7" i="26"/>
  <c r="G12" i="26"/>
  <c r="G8" i="26"/>
  <c r="G9" i="26"/>
  <c r="G10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11" i="26"/>
  <c r="H6" i="26"/>
  <c r="H7" i="26"/>
  <c r="H12" i="26"/>
  <c r="H8" i="26"/>
  <c r="H9" i="26"/>
  <c r="H10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11" i="26"/>
  <c r="I6" i="26"/>
  <c r="I7" i="26"/>
  <c r="I12" i="26"/>
  <c r="I8" i="26"/>
  <c r="I9" i="26"/>
  <c r="I10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11" i="26"/>
  <c r="J6" i="26"/>
  <c r="J7" i="26"/>
  <c r="J12" i="26"/>
  <c r="J8" i="26"/>
  <c r="J9" i="26"/>
  <c r="J10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11" i="26"/>
  <c r="K6" i="26"/>
  <c r="K7" i="26"/>
  <c r="K12" i="26"/>
  <c r="K8" i="26"/>
  <c r="K9" i="26"/>
  <c r="U9" i="26" s="1"/>
  <c r="K10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11" i="26"/>
  <c r="L6" i="26"/>
  <c r="L7" i="26"/>
  <c r="Q7" i="26" s="1"/>
  <c r="L12" i="26"/>
  <c r="L8" i="26"/>
  <c r="L9" i="26"/>
  <c r="L10" i="26"/>
  <c r="Q10" i="26" s="1"/>
  <c r="L13" i="26"/>
  <c r="L14" i="26"/>
  <c r="L15" i="26"/>
  <c r="L16" i="26"/>
  <c r="L17" i="26"/>
  <c r="L18" i="26"/>
  <c r="L19" i="26"/>
  <c r="L20" i="26"/>
  <c r="L21" i="26"/>
  <c r="L22" i="26"/>
  <c r="L23" i="26"/>
  <c r="L24" i="26"/>
  <c r="L11" i="26"/>
  <c r="M6" i="26"/>
  <c r="M7" i="26"/>
  <c r="M12" i="26"/>
  <c r="M8" i="26"/>
  <c r="M9" i="26"/>
  <c r="M10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11" i="26"/>
  <c r="N6" i="26"/>
  <c r="N7" i="26"/>
  <c r="N12" i="26"/>
  <c r="N8" i="26"/>
  <c r="N9" i="26"/>
  <c r="N10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11" i="26"/>
  <c r="O6" i="26"/>
  <c r="T6" i="26" s="1"/>
  <c r="O7" i="26"/>
  <c r="O12" i="26"/>
  <c r="O8" i="26"/>
  <c r="O9" i="26"/>
  <c r="T9" i="26" s="1"/>
  <c r="O10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11" i="26"/>
  <c r="P6" i="26"/>
  <c r="P7" i="26"/>
  <c r="P12" i="26"/>
  <c r="P8" i="26"/>
  <c r="P9" i="26"/>
  <c r="P10" i="26"/>
  <c r="U10" i="26" s="1"/>
  <c r="P13" i="26"/>
  <c r="P14" i="26"/>
  <c r="P15" i="26"/>
  <c r="P16" i="26"/>
  <c r="P17" i="26"/>
  <c r="P18" i="26"/>
  <c r="P19" i="26"/>
  <c r="P20" i="26"/>
  <c r="P21" i="26"/>
  <c r="P22" i="26"/>
  <c r="P23" i="26"/>
  <c r="P24" i="26"/>
  <c r="P11" i="26"/>
  <c r="Q6" i="26"/>
  <c r="Q12" i="26"/>
  <c r="Q8" i="26"/>
  <c r="Q9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11" i="26"/>
  <c r="T7" i="26"/>
  <c r="T12" i="26"/>
  <c r="T8" i="26"/>
  <c r="T10" i="26"/>
  <c r="T13" i="26"/>
  <c r="T14" i="26"/>
  <c r="T15" i="26"/>
  <c r="T16" i="26"/>
  <c r="T17" i="26"/>
  <c r="T18" i="26"/>
  <c r="T19" i="26"/>
  <c r="T20" i="26"/>
  <c r="T21" i="26"/>
  <c r="T22" i="26"/>
  <c r="T23" i="26"/>
  <c r="T24" i="26"/>
  <c r="U6" i="26"/>
  <c r="U7" i="26"/>
  <c r="U12" i="26"/>
  <c r="U13" i="26"/>
  <c r="U14" i="26"/>
  <c r="U15" i="26"/>
  <c r="U16" i="26"/>
  <c r="U17" i="26"/>
  <c r="U18" i="26"/>
  <c r="U19" i="26"/>
  <c r="U20" i="26"/>
  <c r="U21" i="26"/>
  <c r="U22" i="26"/>
  <c r="U23" i="26"/>
  <c r="U24" i="26"/>
  <c r="U11" i="26"/>
  <c r="W12" i="26"/>
  <c r="W13" i="26"/>
  <c r="W14" i="26"/>
  <c r="W15" i="26"/>
  <c r="W16" i="26"/>
  <c r="W17" i="26"/>
  <c r="W18" i="26"/>
  <c r="W19" i="26"/>
  <c r="W20" i="26"/>
  <c r="W21" i="26"/>
  <c r="W22" i="26"/>
  <c r="W23" i="26"/>
  <c r="W24" i="26"/>
  <c r="X12" i="26"/>
  <c r="X13" i="26"/>
  <c r="X14" i="26"/>
  <c r="X15" i="26"/>
  <c r="X16" i="26"/>
  <c r="X17" i="26"/>
  <c r="X18" i="26"/>
  <c r="X19" i="26"/>
  <c r="X20" i="26"/>
  <c r="X21" i="26"/>
  <c r="X22" i="26"/>
  <c r="X23" i="26"/>
  <c r="X24" i="26"/>
  <c r="Y12" i="26"/>
  <c r="Y13" i="26"/>
  <c r="Y14" i="26"/>
  <c r="Y15" i="26"/>
  <c r="Y16" i="26"/>
  <c r="Y17" i="26"/>
  <c r="Y18" i="26"/>
  <c r="Y19" i="26"/>
  <c r="Y20" i="26"/>
  <c r="Y21" i="26"/>
  <c r="Y22" i="26"/>
  <c r="Y23" i="26"/>
  <c r="Y24" i="26"/>
  <c r="Z12" i="26"/>
  <c r="Z13" i="26"/>
  <c r="Z14" i="26"/>
  <c r="Z15" i="26"/>
  <c r="Z16" i="26"/>
  <c r="Z17" i="26"/>
  <c r="Z18" i="26"/>
  <c r="Z19" i="26"/>
  <c r="Z20" i="26"/>
  <c r="Z21" i="26"/>
  <c r="Z22" i="26"/>
  <c r="Z23" i="26"/>
  <c r="Z24" i="26"/>
  <c r="AA6" i="26"/>
  <c r="AA7" i="26"/>
  <c r="AA12" i="26"/>
  <c r="AA8" i="26"/>
  <c r="AA9" i="26"/>
  <c r="AA10" i="26"/>
  <c r="AA13" i="26"/>
  <c r="AA14" i="26"/>
  <c r="AA15" i="26"/>
  <c r="AA16" i="26"/>
  <c r="AA17" i="26"/>
  <c r="AA18" i="26"/>
  <c r="AA19" i="26"/>
  <c r="AA20" i="26"/>
  <c r="AA21" i="26"/>
  <c r="AA22" i="26"/>
  <c r="AA23" i="26"/>
  <c r="AA24" i="26"/>
  <c r="AA11" i="26"/>
  <c r="AB6" i="26"/>
  <c r="AB7" i="26"/>
  <c r="AB12" i="26"/>
  <c r="AB8" i="26"/>
  <c r="AB9" i="26"/>
  <c r="AB10" i="26"/>
  <c r="AB13" i="26"/>
  <c r="AB14" i="26"/>
  <c r="AB15" i="26"/>
  <c r="AB16" i="26"/>
  <c r="AB17" i="26"/>
  <c r="AB18" i="26"/>
  <c r="AB19" i="26"/>
  <c r="AB20" i="26"/>
  <c r="AB21" i="26"/>
  <c r="AB22" i="26"/>
  <c r="AB23" i="26"/>
  <c r="AB24" i="26"/>
  <c r="AB11" i="26"/>
  <c r="AC6" i="26"/>
  <c r="AC7" i="26"/>
  <c r="AC12" i="26"/>
  <c r="AC8" i="26"/>
  <c r="AC9" i="26"/>
  <c r="AC10" i="26"/>
  <c r="AC13" i="26"/>
  <c r="AC14" i="26"/>
  <c r="AC15" i="26"/>
  <c r="AC16" i="26"/>
  <c r="AC17" i="26"/>
  <c r="AC18" i="26"/>
  <c r="AC19" i="26"/>
  <c r="AC20" i="26"/>
  <c r="AC21" i="26"/>
  <c r="AC22" i="26"/>
  <c r="AC23" i="26"/>
  <c r="AC24" i="26"/>
  <c r="AC11" i="26"/>
  <c r="AD6" i="26"/>
  <c r="AD7" i="26"/>
  <c r="AD12" i="26"/>
  <c r="AD8" i="26"/>
  <c r="AD9" i="26"/>
  <c r="AD10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11" i="26"/>
  <c r="AE6" i="26"/>
  <c r="AE7" i="26"/>
  <c r="AE12" i="26"/>
  <c r="AE8" i="26"/>
  <c r="AE9" i="26"/>
  <c r="AE10" i="26"/>
  <c r="AE13" i="26"/>
  <c r="AE14" i="26"/>
  <c r="AE15" i="26"/>
  <c r="AE16" i="26"/>
  <c r="AE17" i="26"/>
  <c r="AE18" i="26"/>
  <c r="AE19" i="26"/>
  <c r="AE20" i="26"/>
  <c r="AE21" i="26"/>
  <c r="AE22" i="26"/>
  <c r="AE23" i="26"/>
  <c r="AE24" i="26"/>
  <c r="AE11" i="26"/>
  <c r="E7" i="22"/>
  <c r="O7" i="22" s="1"/>
  <c r="E8" i="22"/>
  <c r="O8" i="22" s="1"/>
  <c r="E10" i="22"/>
  <c r="E11" i="22"/>
  <c r="U11" i="22" s="1"/>
  <c r="E12" i="22"/>
  <c r="E9" i="22"/>
  <c r="F7" i="22"/>
  <c r="F8" i="22"/>
  <c r="F10" i="22"/>
  <c r="F11" i="22"/>
  <c r="F12" i="22"/>
  <c r="F9" i="22"/>
  <c r="G7" i="22"/>
  <c r="G8" i="22"/>
  <c r="G10" i="22"/>
  <c r="G11" i="22"/>
  <c r="G12" i="22"/>
  <c r="G9" i="22"/>
  <c r="Q9" i="22" s="1"/>
  <c r="H7" i="22"/>
  <c r="H8" i="22"/>
  <c r="H10" i="22"/>
  <c r="H11" i="22"/>
  <c r="H12" i="22"/>
  <c r="H9" i="22"/>
  <c r="I7" i="22"/>
  <c r="I8" i="22"/>
  <c r="S8" i="22" s="1"/>
  <c r="I10" i="22"/>
  <c r="I11" i="22"/>
  <c r="I12" i="22"/>
  <c r="I9" i="22"/>
  <c r="J7" i="22"/>
  <c r="J8" i="22"/>
  <c r="J10" i="22"/>
  <c r="J11" i="22"/>
  <c r="J12" i="22"/>
  <c r="J9" i="22"/>
  <c r="K7" i="22"/>
  <c r="K8" i="22"/>
  <c r="K10" i="22"/>
  <c r="K11" i="22"/>
  <c r="K12" i="22"/>
  <c r="K9" i="22"/>
  <c r="P9" i="22" s="1"/>
  <c r="L7" i="22"/>
  <c r="Q7" i="22" s="1"/>
  <c r="L8" i="22"/>
  <c r="L10" i="22"/>
  <c r="L11" i="22"/>
  <c r="L12" i="22"/>
  <c r="L9" i="22"/>
  <c r="M7" i="22"/>
  <c r="R7" i="22" s="1"/>
  <c r="M8" i="22"/>
  <c r="R8" i="22" s="1"/>
  <c r="M10" i="22"/>
  <c r="M11" i="22"/>
  <c r="M12" i="22"/>
  <c r="M9" i="22"/>
  <c r="N7" i="22"/>
  <c r="S7" i="22" s="1"/>
  <c r="N8" i="22"/>
  <c r="N10" i="22"/>
  <c r="N11" i="22"/>
  <c r="N12" i="22"/>
  <c r="N9" i="22"/>
  <c r="O10" i="22"/>
  <c r="O11" i="22"/>
  <c r="O12" i="22"/>
  <c r="O9" i="22"/>
  <c r="P8" i="22"/>
  <c r="P10" i="22"/>
  <c r="P11" i="22"/>
  <c r="P12" i="22"/>
  <c r="Q8" i="22"/>
  <c r="Q10" i="22"/>
  <c r="Q11" i="22"/>
  <c r="Q12" i="22"/>
  <c r="R10" i="22"/>
  <c r="R11" i="22"/>
  <c r="R12" i="22"/>
  <c r="S10" i="22"/>
  <c r="S11" i="22"/>
  <c r="S12" i="22"/>
  <c r="S9" i="22"/>
  <c r="T10" i="22"/>
  <c r="T11" i="22"/>
  <c r="T12" i="22"/>
  <c r="U10" i="22"/>
  <c r="U12" i="22"/>
  <c r="V10" i="22"/>
  <c r="V11" i="22"/>
  <c r="V12" i="22"/>
  <c r="W10" i="22"/>
  <c r="W11" i="22"/>
  <c r="W12" i="22"/>
  <c r="X10" i="22"/>
  <c r="X11" i="22"/>
  <c r="X12" i="22"/>
  <c r="Y7" i="22"/>
  <c r="Y8" i="22"/>
  <c r="Y10" i="22"/>
  <c r="Y11" i="22"/>
  <c r="Y12" i="22"/>
  <c r="Y9" i="22"/>
  <c r="Z7" i="22"/>
  <c r="Z8" i="22"/>
  <c r="Z10" i="22"/>
  <c r="Z11" i="22"/>
  <c r="Z12" i="22"/>
  <c r="Z9" i="22"/>
  <c r="AA10" i="22"/>
  <c r="AA11" i="22"/>
  <c r="AA12" i="22"/>
  <c r="AB10" i="22"/>
  <c r="AB11" i="22"/>
  <c r="AB12" i="22"/>
  <c r="AC7" i="22"/>
  <c r="AC8" i="22"/>
  <c r="AE8" i="22" s="1"/>
  <c r="AC10" i="22"/>
  <c r="AC11" i="22"/>
  <c r="AC12" i="22"/>
  <c r="AC9" i="22"/>
  <c r="AD7" i="22"/>
  <c r="AD8" i="22"/>
  <c r="AD10" i="22"/>
  <c r="AD11" i="22"/>
  <c r="AD12" i="22"/>
  <c r="AD9" i="22"/>
  <c r="AE10" i="22"/>
  <c r="AE11" i="22"/>
  <c r="AE12" i="22"/>
  <c r="AF10" i="22"/>
  <c r="AF11" i="22"/>
  <c r="AF12" i="22"/>
  <c r="AG7" i="22"/>
  <c r="AG8" i="22"/>
  <c r="AG10" i="22"/>
  <c r="AG11" i="22"/>
  <c r="AG12" i="22"/>
  <c r="AG9" i="22"/>
  <c r="AH10" i="22"/>
  <c r="AH11" i="22"/>
  <c r="AH12" i="22"/>
  <c r="AI7" i="22"/>
  <c r="AI8" i="22"/>
  <c r="AI10" i="22"/>
  <c r="AI11" i="22"/>
  <c r="AI12" i="22"/>
  <c r="AI9" i="22"/>
  <c r="AJ10" i="22"/>
  <c r="AJ11" i="22"/>
  <c r="AJ12" i="22"/>
  <c r="AK7" i="22"/>
  <c r="AK8" i="22"/>
  <c r="AK10" i="22"/>
  <c r="AK11" i="22"/>
  <c r="AK12" i="22"/>
  <c r="AK9" i="22"/>
  <c r="AL10" i="22"/>
  <c r="AL11" i="22"/>
  <c r="AL12" i="22"/>
  <c r="AM7" i="22"/>
  <c r="AM8" i="22"/>
  <c r="AM10" i="22"/>
  <c r="AM11" i="22"/>
  <c r="AM12" i="22"/>
  <c r="AM9" i="22"/>
  <c r="AN10" i="22"/>
  <c r="AN11" i="22"/>
  <c r="AN12" i="22"/>
  <c r="AO10" i="22"/>
  <c r="AO11" i="22"/>
  <c r="AO12" i="22"/>
  <c r="R9" i="22" l="1"/>
  <c r="P7" i="22"/>
  <c r="AN26" i="29"/>
  <c r="AO15" i="29"/>
  <c r="AO12" i="29"/>
  <c r="AL13" i="29"/>
  <c r="AO11" i="29"/>
  <c r="AL19" i="29"/>
  <c r="AO13" i="29"/>
  <c r="AM22" i="29"/>
  <c r="AO14" i="29"/>
  <c r="AN22" i="29"/>
  <c r="AW26" i="29"/>
  <c r="AW14" i="29"/>
  <c r="AW11" i="29"/>
  <c r="AS14" i="29"/>
  <c r="AT14" i="29" s="1"/>
  <c r="AS11" i="29"/>
  <c r="AT11" i="29" s="1"/>
  <c r="AS18" i="29"/>
  <c r="AT18" i="29" s="1"/>
  <c r="AS23" i="29"/>
  <c r="AT23" i="29" s="1"/>
  <c r="AS17" i="29"/>
  <c r="AT17" i="29" s="1"/>
  <c r="AS22" i="29"/>
  <c r="AT22" i="29" s="1"/>
  <c r="AS20" i="29"/>
  <c r="AT20" i="29" s="1"/>
  <c r="AS24" i="29"/>
  <c r="AT24" i="29" s="1"/>
  <c r="AS10" i="29"/>
  <c r="AT10" i="29" s="1"/>
  <c r="AA8" i="22"/>
  <c r="AA9" i="22"/>
  <c r="AS26" i="29"/>
  <c r="AT26" i="29" s="1"/>
  <c r="AO17" i="29"/>
  <c r="V18" i="29"/>
  <c r="T11" i="26"/>
  <c r="AL16" i="29"/>
  <c r="AL12" i="29"/>
  <c r="U8" i="26"/>
  <c r="AM21" i="29"/>
  <c r="AW20" i="29"/>
  <c r="AN24" i="29"/>
  <c r="AW19" i="29"/>
  <c r="AW27" i="29"/>
  <c r="AL11" i="29"/>
  <c r="AM24" i="29"/>
  <c r="AW21" i="29"/>
  <c r="AM25" i="29"/>
  <c r="AO19" i="29"/>
  <c r="AM23" i="29"/>
  <c r="AL20" i="29"/>
  <c r="AL10" i="29"/>
  <c r="AL14" i="29"/>
  <c r="AW28" i="29"/>
  <c r="AW15" i="29"/>
  <c r="AW12" i="29"/>
  <c r="AO18" i="29"/>
  <c r="AN21" i="29"/>
  <c r="AN25" i="29"/>
  <c r="AL17" i="29"/>
  <c r="AO10" i="29"/>
  <c r="AW25" i="29"/>
  <c r="AW13" i="29"/>
  <c r="AL15" i="29"/>
  <c r="AO20" i="29"/>
  <c r="V16" i="29"/>
  <c r="V21" i="29"/>
  <c r="U25" i="29"/>
  <c r="T14" i="29"/>
  <c r="T11" i="29"/>
  <c r="S17" i="29"/>
  <c r="R27" i="29"/>
  <c r="V28" i="29"/>
  <c r="AW18" i="29"/>
  <c r="AW23" i="29"/>
  <c r="AL18" i="29"/>
  <c r="AM26" i="29"/>
  <c r="AN23" i="29"/>
  <c r="AO16" i="29"/>
  <c r="AA7" i="22"/>
  <c r="AE7" i="22"/>
  <c r="AE9" i="22"/>
  <c r="D7" i="46"/>
  <c r="E7" i="46"/>
  <c r="F7" i="46"/>
  <c r="G7" i="46"/>
  <c r="H7" i="46"/>
  <c r="I7" i="46"/>
  <c r="J7" i="46"/>
  <c r="K7" i="46"/>
  <c r="L7" i="46"/>
  <c r="M7" i="46"/>
  <c r="N7" i="46"/>
  <c r="C7" i="46"/>
  <c r="C5" i="46" a="1"/>
  <c r="C5" i="46" s="1"/>
  <c r="B3" i="46"/>
  <c r="R7" i="44"/>
  <c r="C15" i="44" s="1"/>
  <c r="R13" i="44"/>
  <c r="D16" i="44" s="1"/>
  <c r="R25" i="44"/>
  <c r="C18" i="44" s="1"/>
  <c r="R26" i="44"/>
  <c r="D18" i="44" s="1"/>
  <c r="B14" i="44"/>
  <c r="B15" i="44"/>
  <c r="B16" i="44"/>
  <c r="B17" i="44"/>
  <c r="B13" i="44"/>
  <c r="R2" i="44"/>
  <c r="C6" i="44" s="1"/>
  <c r="R3" i="44"/>
  <c r="R4" i="44"/>
  <c r="R5" i="44"/>
  <c r="C13" i="44" s="1"/>
  <c r="R9" i="44"/>
  <c r="C17" i="44" s="1"/>
  <c r="R11" i="44"/>
  <c r="D14" i="44" s="1"/>
  <c r="R12" i="44"/>
  <c r="D15" i="44" s="1"/>
  <c r="R17" i="44"/>
  <c r="E15" i="44" s="1"/>
  <c r="R29" i="44"/>
  <c r="C19" i="44" s="1"/>
  <c r="R33" i="44"/>
  <c r="E20" i="44" s="1"/>
  <c r="R35" i="44"/>
  <c r="E21" i="44" s="1"/>
  <c r="R37" i="44"/>
  <c r="E22" i="44" s="1"/>
  <c r="R1" i="44"/>
  <c r="C7" i="44" s="1"/>
  <c r="P3" i="44"/>
  <c r="P4" i="44" s="1"/>
  <c r="P5" i="44" s="1"/>
  <c r="P6" i="44" s="1"/>
  <c r="P7" i="44" s="1"/>
  <c r="P8" i="44" s="1"/>
  <c r="P9" i="44" s="1"/>
  <c r="P10" i="44" s="1"/>
  <c r="P11" i="44" s="1"/>
  <c r="P12" i="44" s="1"/>
  <c r="P13" i="44" s="1"/>
  <c r="P14" i="44" s="1"/>
  <c r="P15" i="44" s="1"/>
  <c r="P16" i="44" s="1"/>
  <c r="P17" i="44" s="1"/>
  <c r="P18" i="44" s="1"/>
  <c r="P19" i="44" s="1"/>
  <c r="P20" i="44" s="1"/>
  <c r="P21" i="44" s="1"/>
  <c r="P22" i="44" s="1"/>
  <c r="P23" i="44" s="1"/>
  <c r="P24" i="44" s="1"/>
  <c r="P25" i="44" s="1"/>
  <c r="P26" i="44" s="1"/>
  <c r="P27" i="44" s="1"/>
  <c r="P28" i="44" s="1"/>
  <c r="P29" i="44" s="1"/>
  <c r="P30" i="44" s="1"/>
  <c r="P31" i="44" s="1"/>
  <c r="P32" i="44" s="1"/>
  <c r="P33" i="44" s="1"/>
  <c r="P34" i="44" s="1"/>
  <c r="P35" i="44" s="1"/>
  <c r="P36" i="44" s="1"/>
  <c r="P37" i="44" s="1"/>
  <c r="P38" i="44" s="1"/>
  <c r="P39" i="44" s="1"/>
  <c r="P40" i="44" s="1"/>
  <c r="P41" i="44" s="1"/>
  <c r="P2" i="44"/>
  <c r="C5" i="44" a="1"/>
  <c r="C5" i="44" s="1"/>
  <c r="B25" i="44" s="1"/>
  <c r="B3" i="44"/>
  <c r="C5" i="22"/>
  <c r="D5" i="22" s="1"/>
  <c r="E5" i="22" s="1"/>
  <c r="F5" i="22" s="1"/>
  <c r="G5" i="22" s="1"/>
  <c r="H5" i="22" s="1"/>
  <c r="I5" i="22" s="1"/>
  <c r="J5" i="22" s="1"/>
  <c r="K5" i="22" s="1"/>
  <c r="L5" i="22" s="1"/>
  <c r="M5" i="22" s="1"/>
  <c r="N5" i="22" s="1"/>
  <c r="O5" i="22" s="1"/>
  <c r="P5" i="22" s="1"/>
  <c r="Q5" i="22" s="1"/>
  <c r="R5" i="22" s="1"/>
  <c r="S5" i="22" s="1"/>
  <c r="T5" i="22" s="1"/>
  <c r="U5" i="22" s="1"/>
  <c r="V5" i="22" s="1"/>
  <c r="W5" i="22" s="1"/>
  <c r="X5" i="22" s="1"/>
  <c r="Y5" i="22" s="1"/>
  <c r="Z5" i="22" s="1"/>
  <c r="AA5" i="22" s="1"/>
  <c r="AB5" i="22" s="1"/>
  <c r="AC5" i="22" s="1"/>
  <c r="AD5" i="22" s="1"/>
  <c r="AE5" i="22" s="1"/>
  <c r="AF5" i="22" s="1"/>
  <c r="AG5" i="22" s="1"/>
  <c r="AH5" i="22" s="1"/>
  <c r="AI5" i="22" s="1"/>
  <c r="AJ5" i="22" s="1"/>
  <c r="AK5" i="22" s="1"/>
  <c r="AL5" i="22" s="1"/>
  <c r="AM5" i="22" s="1"/>
  <c r="AN5" i="22" s="1"/>
  <c r="AO5" i="22" s="1"/>
  <c r="B5" i="22"/>
  <c r="AN2" i="22"/>
  <c r="AL2" i="22"/>
  <c r="AJ2" i="22"/>
  <c r="AH2" i="22"/>
  <c r="AF2" i="22"/>
  <c r="AB2" i="22"/>
  <c r="R18" i="44" l="1"/>
  <c r="E16" i="44" s="1"/>
  <c r="R8" i="44"/>
  <c r="C16" i="44" s="1"/>
  <c r="AK4" i="22"/>
  <c r="R39" i="44"/>
  <c r="E23" i="44" s="1"/>
  <c r="R15" i="44"/>
  <c r="E13" i="44" s="1"/>
  <c r="R31" i="44"/>
  <c r="E19" i="44" s="1"/>
  <c r="R19" i="44"/>
  <c r="E17" i="44" s="1"/>
  <c r="R10" i="44"/>
  <c r="D13" i="44" s="1"/>
  <c r="AD4" i="22"/>
  <c r="R30" i="44"/>
  <c r="D19" i="44" s="1"/>
  <c r="R14" i="44"/>
  <c r="D17" i="44" s="1"/>
  <c r="R6" i="44"/>
  <c r="C14" i="44" s="1"/>
  <c r="AG4" i="22"/>
  <c r="AK3" i="22"/>
  <c r="AG3" i="22"/>
  <c r="AC4" i="22"/>
  <c r="AI3" i="22"/>
  <c r="AM3" i="22"/>
  <c r="AM4" i="22"/>
  <c r="AD3" i="22"/>
  <c r="AI4" i="22"/>
  <c r="AC3" i="22"/>
  <c r="AE4" i="22" l="1"/>
  <c r="R16" i="44"/>
  <c r="E14" i="44" s="1"/>
  <c r="AE3" i="22"/>
  <c r="R27" i="44"/>
  <c r="E18" i="44" s="1"/>
  <c r="AC2" i="29"/>
  <c r="AD2" i="29"/>
  <c r="AE2" i="29"/>
  <c r="AF2" i="29"/>
  <c r="AB2" i="29"/>
  <c r="I2" i="29"/>
  <c r="J2" i="29"/>
  <c r="K2" i="29"/>
  <c r="L2" i="29"/>
  <c r="M2" i="29"/>
  <c r="N2" i="29"/>
  <c r="O2" i="29"/>
  <c r="P2" i="29"/>
  <c r="Q2" i="29"/>
  <c r="H2" i="29"/>
  <c r="F2" i="22"/>
  <c r="G2" i="22"/>
  <c r="H2" i="22"/>
  <c r="I2" i="22"/>
  <c r="J2" i="22"/>
  <c r="K2" i="22"/>
  <c r="L2" i="22"/>
  <c r="M2" i="22"/>
  <c r="N2" i="22"/>
  <c r="E2" i="22"/>
  <c r="Q49" i="38" l="1"/>
  <c r="E19" i="38" s="1"/>
  <c r="Q48" i="38"/>
  <c r="D19" i="38" s="1"/>
  <c r="Q47" i="38"/>
  <c r="C19" i="38" s="1"/>
  <c r="Q46" i="38"/>
  <c r="G18" i="38" s="1"/>
  <c r="Q45" i="38"/>
  <c r="E18" i="38" s="1"/>
  <c r="Q44" i="38"/>
  <c r="D18" i="38" s="1"/>
  <c r="Q43" i="38"/>
  <c r="C18" i="38" s="1"/>
  <c r="Q32" i="38"/>
  <c r="F17" i="38" s="1"/>
  <c r="Q31" i="38"/>
  <c r="F16" i="38" s="1"/>
  <c r="Q30" i="38"/>
  <c r="F15" i="38" s="1"/>
  <c r="Q29" i="38"/>
  <c r="F14" i="38" s="1"/>
  <c r="Q28" i="38"/>
  <c r="F13" i="38" s="1"/>
  <c r="Q22" i="38"/>
  <c r="E17" i="38" s="1"/>
  <c r="Q21" i="38"/>
  <c r="E16" i="38" s="1"/>
  <c r="Q20" i="38"/>
  <c r="E15" i="38" s="1"/>
  <c r="Q19" i="38"/>
  <c r="E14" i="38" s="1"/>
  <c r="Q18" i="38"/>
  <c r="E13" i="38" s="1"/>
  <c r="Q17" i="38"/>
  <c r="C17" i="38" s="1"/>
  <c r="Q16" i="38"/>
  <c r="C16" i="38" s="1"/>
  <c r="Q15" i="38"/>
  <c r="C15" i="38" s="1"/>
  <c r="Q14" i="38"/>
  <c r="C14" i="38" s="1"/>
  <c r="Q13" i="38"/>
  <c r="C13" i="38" s="1"/>
  <c r="Q12" i="38"/>
  <c r="Q11" i="38"/>
  <c r="Q10" i="38"/>
  <c r="Q9" i="38"/>
  <c r="Q8" i="38"/>
  <c r="Q6" i="38"/>
  <c r="Q5" i="38"/>
  <c r="Q4" i="38"/>
  <c r="Q3" i="38"/>
  <c r="Q2" i="38"/>
  <c r="C6" i="38" s="1"/>
  <c r="Q1" i="38"/>
  <c r="C7" i="38" s="1"/>
  <c r="B17" i="38"/>
  <c r="B16" i="38"/>
  <c r="B15" i="38"/>
  <c r="B14" i="38"/>
  <c r="B13" i="38"/>
  <c r="C5" i="38" a="1"/>
  <c r="C5" i="38" s="1"/>
  <c r="B25" i="38" s="1"/>
  <c r="B3" i="38"/>
  <c r="P6" i="37"/>
  <c r="P5" i="37"/>
  <c r="P4" i="37"/>
  <c r="P3" i="37"/>
  <c r="P2" i="37"/>
  <c r="C7" i="37" s="1"/>
  <c r="P1" i="37"/>
  <c r="C8" i="37" s="1"/>
  <c r="B16" i="37"/>
  <c r="B15" i="37"/>
  <c r="B14" i="37"/>
  <c r="C6" i="37" a="1"/>
  <c r="C6" i="37" s="1"/>
  <c r="B24" i="37" s="1"/>
  <c r="B3" i="37"/>
  <c r="B15" i="36"/>
  <c r="B14" i="36"/>
  <c r="B13" i="36"/>
  <c r="P6" i="36"/>
  <c r="P5" i="36"/>
  <c r="C5" i="36" a="1"/>
  <c r="C5" i="36" s="1"/>
  <c r="B23" i="36" s="1"/>
  <c r="P4" i="36"/>
  <c r="C8" i="36" s="1"/>
  <c r="P3" i="36"/>
  <c r="B3" i="36"/>
  <c r="P2" i="36"/>
  <c r="C6" i="36" s="1"/>
  <c r="P1" i="36"/>
  <c r="C7" i="36" s="1"/>
  <c r="C8" i="38" l="1"/>
  <c r="D13" i="38" a="1"/>
  <c r="D13" i="38" s="1"/>
  <c r="C9" i="37"/>
  <c r="A2" i="13" a="1"/>
  <c r="A2" i="13" s="1"/>
  <c r="A2" i="12" a="1"/>
  <c r="A2" i="12" s="1"/>
  <c r="A2" i="10" a="1"/>
  <c r="A2" i="10" s="1"/>
  <c r="A2" i="11" a="1"/>
  <c r="A2" i="11" s="1"/>
  <c r="B8" i="29"/>
  <c r="C8" i="29" s="1"/>
  <c r="D8" i="29" s="1"/>
  <c r="E8" i="29" s="1"/>
  <c r="F8" i="29" s="1"/>
  <c r="G8" i="29" s="1"/>
  <c r="H8" i="29" s="1"/>
  <c r="I8" i="29" s="1"/>
  <c r="J8" i="29" s="1"/>
  <c r="K8" i="29" s="1"/>
  <c r="L8" i="29" s="1"/>
  <c r="M8" i="29" s="1"/>
  <c r="N8" i="29" s="1"/>
  <c r="O8" i="29" s="1"/>
  <c r="P8" i="29" s="1"/>
  <c r="Q8" i="29" s="1"/>
  <c r="R8" i="29" s="1"/>
  <c r="S8" i="29" s="1"/>
  <c r="T8" i="29" s="1"/>
  <c r="U8" i="29" s="1"/>
  <c r="V8" i="29" s="1"/>
  <c r="W8" i="29" s="1"/>
  <c r="X8" i="29" s="1"/>
  <c r="Y8" i="29" s="1"/>
  <c r="Z8" i="29" s="1"/>
  <c r="AA8" i="29" s="1"/>
  <c r="AB8" i="29" s="1"/>
  <c r="AC8" i="29" s="1"/>
  <c r="AD8" i="29" s="1"/>
  <c r="AE8" i="29" s="1"/>
  <c r="AF8" i="29" s="1"/>
  <c r="AG8" i="29" s="1"/>
  <c r="AH8" i="29" s="1"/>
  <c r="AI8" i="29" s="1"/>
  <c r="AJ8" i="29" s="1"/>
  <c r="AK8" i="29" s="1"/>
  <c r="AL8" i="29" s="1"/>
  <c r="AM8" i="29" s="1"/>
  <c r="AN8" i="29" s="1"/>
  <c r="AO8" i="29" s="1"/>
  <c r="AP8" i="29" s="1"/>
  <c r="AQ8" i="29" s="1"/>
  <c r="AR8" i="29" s="1"/>
  <c r="AS8" i="29" s="1"/>
  <c r="AT8" i="29" s="1"/>
  <c r="AU8" i="29" s="1"/>
  <c r="AV8" i="29" s="1"/>
  <c r="AW8" i="29" s="1"/>
  <c r="AX8" i="29" s="1"/>
  <c r="AY8" i="29" s="1"/>
  <c r="AZ8" i="29" s="1"/>
  <c r="BA8" i="29" s="1"/>
  <c r="BB8" i="29" s="1"/>
  <c r="BC8" i="29" s="1"/>
  <c r="BD8" i="29" s="1"/>
  <c r="BE8" i="29" s="1"/>
  <c r="BF8" i="29" s="1"/>
  <c r="BG8" i="29" s="1"/>
  <c r="P7" i="37"/>
  <c r="P8" i="37"/>
  <c r="D14" i="37" s="1"/>
  <c r="P9" i="37"/>
  <c r="P10" i="37"/>
  <c r="P11" i="37"/>
  <c r="D15" i="37" s="1"/>
  <c r="P12" i="37"/>
  <c r="D16" i="37" s="1"/>
  <c r="P16" i="37"/>
  <c r="C15" i="37" s="1"/>
  <c r="P17" i="37"/>
  <c r="C16" i="37" s="1"/>
  <c r="P28" i="37"/>
  <c r="F14" i="37" s="1"/>
  <c r="P31" i="37"/>
  <c r="F15" i="37" s="1"/>
  <c r="P32" i="37"/>
  <c r="F16" i="37" s="1"/>
  <c r="P43" i="37"/>
  <c r="C17" i="37" s="1"/>
  <c r="P44" i="37"/>
  <c r="D17" i="37" s="1"/>
  <c r="P47" i="37"/>
  <c r="C18" i="37" s="1"/>
  <c r="P48" i="37"/>
  <c r="D18" i="37" s="1"/>
  <c r="P51" i="37"/>
  <c r="P53" i="37"/>
  <c r="P55" i="37"/>
  <c r="P57" i="37"/>
  <c r="AZ2" i="29"/>
  <c r="BB2" i="29"/>
  <c r="BD2" i="29"/>
  <c r="BF2" i="29"/>
  <c r="AZ3" i="29"/>
  <c r="BB3" i="29"/>
  <c r="BD3" i="29"/>
  <c r="BF3" i="29"/>
  <c r="AZ4" i="29"/>
  <c r="BB4" i="29"/>
  <c r="BD4" i="29"/>
  <c r="BF4" i="29"/>
  <c r="AX4" i="29"/>
  <c r="AX3" i="29"/>
  <c r="AX2" i="29"/>
  <c r="AT4" i="29"/>
  <c r="AT3" i="29"/>
  <c r="AT2" i="29"/>
  <c r="M4" i="13"/>
  <c r="L4" i="13"/>
  <c r="K4" i="13"/>
  <c r="J4" i="13"/>
  <c r="I4" i="13"/>
  <c r="H4" i="13"/>
  <c r="G4" i="13"/>
  <c r="AK4" i="29" s="1"/>
  <c r="F4" i="13"/>
  <c r="AJ4" i="29" s="1"/>
  <c r="E4" i="13"/>
  <c r="AI4" i="29" s="1"/>
  <c r="D4" i="13"/>
  <c r="AH4" i="29" s="1"/>
  <c r="C4" i="13"/>
  <c r="AG4" i="29" s="1"/>
  <c r="B4" i="13"/>
  <c r="M4" i="12"/>
  <c r="L4" i="12"/>
  <c r="K4" i="12"/>
  <c r="J4" i="12"/>
  <c r="I4" i="12"/>
  <c r="H4" i="12"/>
  <c r="G4" i="12"/>
  <c r="AK2" i="29" s="1"/>
  <c r="F4" i="12"/>
  <c r="AJ2" i="29" s="1"/>
  <c r="E4" i="12"/>
  <c r="AI2" i="29" s="1"/>
  <c r="D4" i="12"/>
  <c r="AH2" i="29" s="1"/>
  <c r="C4" i="12"/>
  <c r="AG2" i="29" s="1"/>
  <c r="B4" i="12"/>
  <c r="M4" i="10"/>
  <c r="L4" i="10"/>
  <c r="K4" i="10"/>
  <c r="J4" i="10"/>
  <c r="I4" i="10"/>
  <c r="H4" i="10"/>
  <c r="G4" i="10"/>
  <c r="F4" i="10"/>
  <c r="E4" i="10"/>
  <c r="D4" i="10"/>
  <c r="C4" i="10"/>
  <c r="B4" i="10"/>
  <c r="X2" i="29"/>
  <c r="Y2" i="29"/>
  <c r="Z2" i="29"/>
  <c r="AA2" i="29"/>
  <c r="X4" i="29"/>
  <c r="Y4" i="29"/>
  <c r="Z4" i="29"/>
  <c r="AA4" i="29"/>
  <c r="W4" i="29"/>
  <c r="X3" i="29"/>
  <c r="Y3" i="29"/>
  <c r="Z3" i="29"/>
  <c r="AA3" i="29"/>
  <c r="W3" i="29"/>
  <c r="W2" i="29"/>
  <c r="S1" i="29"/>
  <c r="AA14" i="29" l="1"/>
  <c r="AP14" i="29" s="1"/>
  <c r="AZ24" i="29"/>
  <c r="W9" i="26"/>
  <c r="X7" i="26"/>
  <c r="Y20" i="29"/>
  <c r="AN20" i="29" s="1"/>
  <c r="X6" i="26"/>
  <c r="W10" i="26"/>
  <c r="X11" i="26"/>
  <c r="AZ13" i="29"/>
  <c r="X8" i="26"/>
  <c r="X12" i="29"/>
  <c r="AM12" i="29" s="1"/>
  <c r="BF10" i="29"/>
  <c r="X9" i="26"/>
  <c r="X15" i="29"/>
  <c r="AM15" i="29" s="1"/>
  <c r="BB20" i="29"/>
  <c r="BF22" i="29"/>
  <c r="W6" i="26"/>
  <c r="X10" i="26"/>
  <c r="W11" i="26"/>
  <c r="W7" i="26"/>
  <c r="W21" i="29"/>
  <c r="W8" i="26"/>
  <c r="BF27" i="29"/>
  <c r="V24" i="26"/>
  <c r="BD20" i="29"/>
  <c r="AA26" i="29"/>
  <c r="AP26" i="29" s="1"/>
  <c r="Z28" i="29"/>
  <c r="AO28" i="29" s="1"/>
  <c r="Y7" i="26"/>
  <c r="AX17" i="29"/>
  <c r="AA10" i="29"/>
  <c r="AP10" i="29" s="1"/>
  <c r="V14" i="26"/>
  <c r="BB12" i="29"/>
  <c r="X13" i="29"/>
  <c r="AM13" i="29" s="1"/>
  <c r="BF15" i="29"/>
  <c r="AA15" i="29"/>
  <c r="AP15" i="29" s="1"/>
  <c r="Y12" i="29"/>
  <c r="AN12" i="29" s="1"/>
  <c r="X14" i="29"/>
  <c r="AM14" i="29" s="1"/>
  <c r="BB24" i="29"/>
  <c r="BD26" i="29"/>
  <c r="BB27" i="29"/>
  <c r="X11" i="29"/>
  <c r="AM11" i="29" s="1"/>
  <c r="V18" i="26"/>
  <c r="V7" i="26"/>
  <c r="BB13" i="29"/>
  <c r="V16" i="26"/>
  <c r="BD24" i="29"/>
  <c r="AA11" i="29"/>
  <c r="AP11" i="29" s="1"/>
  <c r="Y18" i="29"/>
  <c r="AN18" i="29" s="1"/>
  <c r="BF17" i="29"/>
  <c r="AX22" i="29"/>
  <c r="Z23" i="29"/>
  <c r="AO23" i="29" s="1"/>
  <c r="Z11" i="26"/>
  <c r="AZ19" i="29"/>
  <c r="AA23" i="29"/>
  <c r="AP23" i="29" s="1"/>
  <c r="BF12" i="29"/>
  <c r="Z21" i="29"/>
  <c r="X18" i="29"/>
  <c r="AM18" i="29" s="1"/>
  <c r="V20" i="26"/>
  <c r="BB10" i="29"/>
  <c r="BB18" i="29"/>
  <c r="AZ17" i="29"/>
  <c r="V12" i="26"/>
  <c r="V8" i="26"/>
  <c r="AA13" i="29"/>
  <c r="AP13" i="29" s="1"/>
  <c r="Z7" i="26"/>
  <c r="BD10" i="29"/>
  <c r="Z24" i="29"/>
  <c r="AO24" i="29" s="1"/>
  <c r="X20" i="29"/>
  <c r="AM20" i="29" s="1"/>
  <c r="BD19" i="29"/>
  <c r="Y17" i="29"/>
  <c r="AN17" i="29" s="1"/>
  <c r="BF16" i="29"/>
  <c r="AZ27" i="29"/>
  <c r="BD12" i="29"/>
  <c r="BD18" i="29"/>
  <c r="X19" i="29"/>
  <c r="AM19" i="29" s="1"/>
  <c r="W24" i="29"/>
  <c r="AL24" i="29" s="1"/>
  <c r="Y9" i="26"/>
  <c r="AZ18" i="29"/>
  <c r="W28" i="29"/>
  <c r="AL28" i="29" s="1"/>
  <c r="AZ22" i="29"/>
  <c r="V23" i="26"/>
  <c r="V9" i="26"/>
  <c r="X10" i="29"/>
  <c r="AM10" i="29" s="1"/>
  <c r="Z10" i="26"/>
  <c r="BB17" i="29"/>
  <c r="Y10" i="29"/>
  <c r="AN10" i="29" s="1"/>
  <c r="BB25" i="29"/>
  <c r="BD27" i="29"/>
  <c r="X28" i="29"/>
  <c r="AM28" i="29" s="1"/>
  <c r="BF21" i="29"/>
  <c r="AX16" i="29"/>
  <c r="BF25" i="29"/>
  <c r="BD23" i="29"/>
  <c r="AA17" i="29"/>
  <c r="AP17" i="29" s="1"/>
  <c r="Y10" i="26"/>
  <c r="BF26" i="29"/>
  <c r="AZ23" i="29"/>
  <c r="BF20" i="29"/>
  <c r="AX24" i="29"/>
  <c r="V15" i="26"/>
  <c r="BB11" i="29"/>
  <c r="Y13" i="29"/>
  <c r="AN13" i="29" s="1"/>
  <c r="AZ16" i="29"/>
  <c r="Y6" i="26"/>
  <c r="BB22" i="29"/>
  <c r="W26" i="29"/>
  <c r="AL26" i="29" s="1"/>
  <c r="BF13" i="29"/>
  <c r="BB16" i="29"/>
  <c r="X27" i="29"/>
  <c r="AM27" i="29" s="1"/>
  <c r="BD25" i="29"/>
  <c r="AA25" i="29"/>
  <c r="AP25" i="29" s="1"/>
  <c r="AZ28" i="29"/>
  <c r="BB26" i="29"/>
  <c r="AA22" i="29"/>
  <c r="AP22" i="29" s="1"/>
  <c r="BD28" i="29"/>
  <c r="BF14" i="29"/>
  <c r="Y27" i="29"/>
  <c r="AN27" i="29" s="1"/>
  <c r="BF24" i="29"/>
  <c r="AX10" i="29"/>
  <c r="V6" i="26"/>
  <c r="BD11" i="29"/>
  <c r="BD21" i="29"/>
  <c r="V13" i="26"/>
  <c r="Y8" i="26"/>
  <c r="Z9" i="26"/>
  <c r="AZ26" i="29"/>
  <c r="W23" i="29"/>
  <c r="AL23" i="29" s="1"/>
  <c r="AZ12" i="29"/>
  <c r="BB21" i="29"/>
  <c r="W25" i="29"/>
  <c r="AL25" i="29" s="1"/>
  <c r="BD13" i="29"/>
  <c r="Z26" i="29"/>
  <c r="AO26" i="29" s="1"/>
  <c r="Y19" i="29"/>
  <c r="AN19" i="29" s="1"/>
  <c r="BB14" i="29"/>
  <c r="Z27" i="29"/>
  <c r="AO27" i="29" s="1"/>
  <c r="V11" i="26"/>
  <c r="BF11" i="29"/>
  <c r="BF19" i="29"/>
  <c r="BD16" i="29"/>
  <c r="AA24" i="29"/>
  <c r="AP24" i="29" s="1"/>
  <c r="V19" i="26"/>
  <c r="V21" i="26"/>
  <c r="BD14" i="29"/>
  <c r="BF18" i="29"/>
  <c r="AZ14" i="29"/>
  <c r="AA19" i="29"/>
  <c r="AP19" i="29" s="1"/>
  <c r="AA12" i="29"/>
  <c r="AP12" i="29" s="1"/>
  <c r="AZ20" i="29"/>
  <c r="W22" i="29"/>
  <c r="AL22" i="29" s="1"/>
  <c r="BB28" i="29"/>
  <c r="Z22" i="29"/>
  <c r="AO22" i="29" s="1"/>
  <c r="V22" i="26"/>
  <c r="Y28" i="29"/>
  <c r="AN28" i="29" s="1"/>
  <c r="BD17" i="29"/>
  <c r="AZ21" i="29"/>
  <c r="AZ15" i="29"/>
  <c r="BF23" i="29"/>
  <c r="AZ11" i="29"/>
  <c r="AA27" i="29"/>
  <c r="AP27" i="29" s="1"/>
  <c r="Z6" i="26"/>
  <c r="AZ10" i="29"/>
  <c r="AA20" i="29"/>
  <c r="AP20" i="29" s="1"/>
  <c r="BD15" i="29"/>
  <c r="BB15" i="29"/>
  <c r="Y16" i="29"/>
  <c r="AN16" i="29" s="1"/>
  <c r="BF28" i="29"/>
  <c r="AZ25" i="29"/>
  <c r="Y15" i="29"/>
  <c r="AN15" i="29" s="1"/>
  <c r="BB23" i="29"/>
  <c r="BD22" i="29"/>
  <c r="V17" i="26"/>
  <c r="BB19" i="29"/>
  <c r="X16" i="29"/>
  <c r="AM16" i="29" s="1"/>
  <c r="V10" i="26"/>
  <c r="X17" i="29"/>
  <c r="AM17" i="29" s="1"/>
  <c r="AX25" i="29"/>
  <c r="AA18" i="29"/>
  <c r="AP18" i="29" s="1"/>
  <c r="AX19" i="29"/>
  <c r="AX15" i="29"/>
  <c r="AX14" i="29"/>
  <c r="AX12" i="29"/>
  <c r="Z8" i="26"/>
  <c r="AX23" i="29"/>
  <c r="AX18" i="29"/>
  <c r="AA21" i="29"/>
  <c r="AX21" i="29"/>
  <c r="Y11" i="26"/>
  <c r="AA28" i="29"/>
  <c r="AP28" i="29" s="1"/>
  <c r="AX20" i="29"/>
  <c r="Y14" i="29"/>
  <c r="AN14" i="29" s="1"/>
  <c r="AX13" i="29"/>
  <c r="AX11" i="29"/>
  <c r="AX27" i="29"/>
  <c r="Z25" i="29"/>
  <c r="AO25" i="29" s="1"/>
  <c r="AX28" i="29"/>
  <c r="Y11" i="29"/>
  <c r="AN11" i="29" s="1"/>
  <c r="AX26" i="29"/>
  <c r="AA16" i="29"/>
  <c r="AP16" i="29" s="1"/>
  <c r="W27" i="29"/>
  <c r="AL27" i="29" s="1"/>
  <c r="P52" i="37"/>
  <c r="P58" i="37"/>
  <c r="P23" i="37"/>
  <c r="P54" i="37"/>
  <c r="P56" i="37"/>
  <c r="Q53" i="38"/>
  <c r="E21" i="38" s="1"/>
  <c r="Q33" i="38"/>
  <c r="Q7" i="38"/>
  <c r="Q34" i="38"/>
  <c r="Q57" i="38"/>
  <c r="E23" i="38" s="1"/>
  <c r="Q37" i="38"/>
  <c r="Q51" i="38"/>
  <c r="E20" i="38" s="1"/>
  <c r="Q36" i="38"/>
  <c r="Q35" i="38"/>
  <c r="Q55" i="38"/>
  <c r="E22" i="38" s="1"/>
  <c r="P47" i="36"/>
  <c r="C17" i="36" s="1"/>
  <c r="P48" i="36"/>
  <c r="D17" i="36" s="1"/>
  <c r="P44" i="36"/>
  <c r="D16" i="36" s="1"/>
  <c r="P43" i="36"/>
  <c r="C16" i="36" s="1"/>
  <c r="P11" i="36"/>
  <c r="P8" i="36"/>
  <c r="P12" i="36"/>
  <c r="D15" i="36" s="1"/>
  <c r="P9" i="36"/>
  <c r="D13" i="36" s="1"/>
  <c r="P10" i="36"/>
  <c r="D14" i="36" s="1"/>
  <c r="P32" i="36"/>
  <c r="F15" i="36" s="1"/>
  <c r="P31" i="36"/>
  <c r="P29" i="36"/>
  <c r="F13" i="36" s="1"/>
  <c r="P17" i="36"/>
  <c r="C15" i="36" s="1"/>
  <c r="P30" i="36"/>
  <c r="F14" i="36" s="1"/>
  <c r="P28" i="36"/>
  <c r="P14" i="36"/>
  <c r="C13" i="36" s="1"/>
  <c r="P18" i="37"/>
  <c r="E14" i="37" s="1"/>
  <c r="P13" i="37"/>
  <c r="C14" i="37" s="1"/>
  <c r="P16" i="36"/>
  <c r="P15" i="37"/>
  <c r="P13" i="36"/>
  <c r="P35" i="37"/>
  <c r="P30" i="37"/>
  <c r="P34" i="37"/>
  <c r="P29" i="37"/>
  <c r="P15" i="36"/>
  <c r="C14" i="36" s="1"/>
  <c r="P14" i="37"/>
  <c r="E22" i="37"/>
  <c r="E19" i="37"/>
  <c r="E21" i="37"/>
  <c r="E20" i="37"/>
  <c r="P53" i="36"/>
  <c r="E19" i="36" s="1"/>
  <c r="P55" i="36"/>
  <c r="E20" i="36" s="1"/>
  <c r="P57" i="36"/>
  <c r="E21" i="36" s="1"/>
  <c r="P7" i="36"/>
  <c r="P51" i="36"/>
  <c r="E18" i="36" s="1"/>
  <c r="P36" i="36"/>
  <c r="P34" i="36"/>
  <c r="P35" i="36"/>
  <c r="P33" i="36"/>
  <c r="P22" i="37"/>
  <c r="E16" i="37" s="1"/>
  <c r="P45" i="36"/>
  <c r="E16" i="36" s="1"/>
  <c r="M4" i="11"/>
  <c r="L4" i="11"/>
  <c r="K4" i="11"/>
  <c r="J4" i="11"/>
  <c r="I4" i="11"/>
  <c r="H4" i="11"/>
  <c r="G4" i="11"/>
  <c r="AK3" i="29" s="1"/>
  <c r="AK21" i="29" s="1"/>
  <c r="AP21" i="29" s="1"/>
  <c r="F4" i="11"/>
  <c r="AJ3" i="29" s="1"/>
  <c r="AJ21" i="29" s="1"/>
  <c r="AO21" i="29" s="1"/>
  <c r="E4" i="11"/>
  <c r="AI3" i="29" s="1"/>
  <c r="D4" i="11"/>
  <c r="AH3" i="29" s="1"/>
  <c r="C4" i="11"/>
  <c r="AG3" i="29" s="1"/>
  <c r="AG21" i="29" s="1"/>
  <c r="AL21" i="29" s="1"/>
  <c r="B4" i="11"/>
  <c r="W2" i="26"/>
  <c r="X2" i="26"/>
  <c r="Y2" i="26"/>
  <c r="Z2" i="26"/>
  <c r="V2" i="26"/>
  <c r="P2" i="26"/>
  <c r="O2" i="26"/>
  <c r="N2" i="26"/>
  <c r="M2" i="26"/>
  <c r="L2" i="26"/>
  <c r="H2" i="26"/>
  <c r="I2" i="26"/>
  <c r="J2" i="26"/>
  <c r="K2" i="26"/>
  <c r="G2" i="26"/>
  <c r="AE2" i="26"/>
  <c r="AD2" i="26"/>
  <c r="AC2" i="26"/>
  <c r="AB2" i="26"/>
  <c r="AA2" i="26"/>
  <c r="U2" i="22"/>
  <c r="V2" i="22"/>
  <c r="W2" i="22"/>
  <c r="X2" i="22"/>
  <c r="T2" i="22"/>
  <c r="Q1" i="22"/>
  <c r="BG27" i="29" l="1"/>
  <c r="BG17" i="29"/>
  <c r="BG28" i="29"/>
  <c r="BG15" i="29"/>
  <c r="BG16" i="29"/>
  <c r="BG22" i="29"/>
  <c r="BG14" i="29"/>
  <c r="BG23" i="29"/>
  <c r="BG24" i="29"/>
  <c r="BG20" i="29"/>
  <c r="BG10" i="29"/>
  <c r="BG19" i="29"/>
  <c r="BG12" i="29"/>
  <c r="BG25" i="29"/>
  <c r="BG26" i="29"/>
  <c r="BG18" i="29"/>
  <c r="BG11" i="29"/>
  <c r="BG13" i="29"/>
  <c r="AN7" i="22"/>
  <c r="U9" i="22"/>
  <c r="T7" i="22"/>
  <c r="AJ8" i="22"/>
  <c r="U8" i="22"/>
  <c r="AH8" i="22"/>
  <c r="X8" i="22"/>
  <c r="AJ7" i="22"/>
  <c r="V8" i="22"/>
  <c r="U7" i="22"/>
  <c r="V7" i="22"/>
  <c r="V9" i="22"/>
  <c r="X7" i="22"/>
  <c r="R24" i="44" s="1"/>
  <c r="G17" i="44" s="1"/>
  <c r="AL7" i="22"/>
  <c r="R38" i="44" s="1"/>
  <c r="G22" i="44" s="1"/>
  <c r="AN9" i="22"/>
  <c r="T8" i="22"/>
  <c r="AN8" i="22"/>
  <c r="W7" i="22"/>
  <c r="AH7" i="22"/>
  <c r="AJ9" i="22"/>
  <c r="T9" i="22"/>
  <c r="AL9" i="22"/>
  <c r="AH9" i="22"/>
  <c r="W9" i="22"/>
  <c r="AF8" i="22"/>
  <c r="X9" i="22"/>
  <c r="AL8" i="22"/>
  <c r="W8" i="22"/>
  <c r="AF9" i="22"/>
  <c r="AB8" i="22"/>
  <c r="AF7" i="22"/>
  <c r="AB7" i="22"/>
  <c r="AB9" i="22"/>
  <c r="BG21" i="29"/>
  <c r="R22" i="44"/>
  <c r="G15" i="44" s="1"/>
  <c r="R20" i="44"/>
  <c r="G13" i="44" s="1"/>
  <c r="R23" i="44"/>
  <c r="G16" i="44" s="1"/>
  <c r="R21" i="44"/>
  <c r="G14" i="44" s="1"/>
  <c r="Q54" i="38"/>
  <c r="G21" i="38" s="1"/>
  <c r="Q58" i="38"/>
  <c r="G23" i="38" s="1"/>
  <c r="Q56" i="38"/>
  <c r="G22" i="38" s="1"/>
  <c r="Q52" i="38"/>
  <c r="G20" i="38" s="1"/>
  <c r="Q50" i="38"/>
  <c r="Q23" i="38"/>
  <c r="Q25" i="38"/>
  <c r="Q27" i="38"/>
  <c r="Q26" i="38"/>
  <c r="Q24" i="38"/>
  <c r="P49" i="36"/>
  <c r="E17" i="36" s="1"/>
  <c r="P50" i="37"/>
  <c r="P49" i="37"/>
  <c r="E18" i="37" s="1"/>
  <c r="P46" i="37"/>
  <c r="G17" i="37" s="1"/>
  <c r="P45" i="37"/>
  <c r="E17" i="37" s="1"/>
  <c r="P27" i="37"/>
  <c r="P19" i="37"/>
  <c r="P19" i="36"/>
  <c r="E13" i="36" s="1"/>
  <c r="P26" i="37"/>
  <c r="P21" i="37"/>
  <c r="E15" i="37" s="1"/>
  <c r="P23" i="36"/>
  <c r="P18" i="36"/>
  <c r="P26" i="36"/>
  <c r="P21" i="36"/>
  <c r="P20" i="37"/>
  <c r="P20" i="36"/>
  <c r="E14" i="36" s="1"/>
  <c r="P22" i="36"/>
  <c r="E15" i="36" s="1"/>
  <c r="P33" i="37"/>
  <c r="P56" i="36"/>
  <c r="G20" i="36" s="1"/>
  <c r="G21" i="37"/>
  <c r="P54" i="36"/>
  <c r="G19" i="36" s="1"/>
  <c r="G20" i="37"/>
  <c r="P58" i="36"/>
  <c r="G21" i="36" s="1"/>
  <c r="G22" i="37"/>
  <c r="P52" i="36"/>
  <c r="G18" i="36" s="1"/>
  <c r="G19" i="37"/>
  <c r="P37" i="36"/>
  <c r="P25" i="36"/>
  <c r="BB6" i="29"/>
  <c r="AZ7" i="29"/>
  <c r="BF6" i="29"/>
  <c r="BD6" i="29"/>
  <c r="BF7" i="29"/>
  <c r="BB7" i="29"/>
  <c r="BD7" i="29"/>
  <c r="AZ6" i="29"/>
  <c r="L3" i="26"/>
  <c r="L4" i="26"/>
  <c r="H3" i="26"/>
  <c r="N3" i="26"/>
  <c r="N4" i="26"/>
  <c r="M3" i="26"/>
  <c r="K3" i="26"/>
  <c r="O4" i="26"/>
  <c r="J3" i="26"/>
  <c r="I3" i="26"/>
  <c r="H4" i="26"/>
  <c r="G4" i="26"/>
  <c r="G3" i="26"/>
  <c r="P4" i="26"/>
  <c r="M4" i="26"/>
  <c r="P3" i="26"/>
  <c r="O3" i="26"/>
  <c r="K4" i="26"/>
  <c r="I4" i="26"/>
  <c r="J4" i="26"/>
  <c r="K4" i="22"/>
  <c r="K3" i="22"/>
  <c r="M4" i="22"/>
  <c r="I3" i="22"/>
  <c r="L4" i="22"/>
  <c r="N3" i="22"/>
  <c r="J4" i="22"/>
  <c r="M3" i="22"/>
  <c r="L3" i="22"/>
  <c r="N4" i="22"/>
  <c r="J3" i="22"/>
  <c r="H3" i="22"/>
  <c r="G3" i="22"/>
  <c r="F3" i="22"/>
  <c r="E4" i="22"/>
  <c r="I4" i="22"/>
  <c r="H4" i="22"/>
  <c r="G4" i="22"/>
  <c r="F4" i="22"/>
  <c r="E3" i="22"/>
  <c r="AO7" i="22" l="1"/>
  <c r="AO8" i="22"/>
  <c r="AO9" i="22"/>
  <c r="R34" i="44"/>
  <c r="G20" i="44" s="1"/>
  <c r="AH4" i="22"/>
  <c r="AH3" i="22"/>
  <c r="R40" i="44"/>
  <c r="G23" i="44" s="1"/>
  <c r="AN3" i="22"/>
  <c r="AN4" i="22"/>
  <c r="R36" i="44"/>
  <c r="G21" i="44" s="1"/>
  <c r="AL4" i="22"/>
  <c r="AL3" i="22"/>
  <c r="AJ3" i="22"/>
  <c r="AJ4" i="22"/>
  <c r="R41" i="44"/>
  <c r="R28" i="44"/>
  <c r="G18" i="44" s="1"/>
  <c r="AB4" i="22"/>
  <c r="AB3" i="22"/>
  <c r="R32" i="44"/>
  <c r="G19" i="44" s="1"/>
  <c r="AF3" i="22"/>
  <c r="AF4" i="22"/>
  <c r="P38" i="37"/>
  <c r="G14" i="37" s="1"/>
  <c r="P42" i="37"/>
  <c r="P37" i="37"/>
  <c r="P36" i="37"/>
  <c r="Q39" i="38"/>
  <c r="G14" i="38" s="1"/>
  <c r="Q40" i="38"/>
  <c r="G15" i="38" s="1"/>
  <c r="Q41" i="38"/>
  <c r="Q38" i="38"/>
  <c r="Q59" i="38"/>
  <c r="Q42" i="38"/>
  <c r="G17" i="38" s="1"/>
  <c r="P46" i="36"/>
  <c r="G16" i="36" s="1"/>
  <c r="P41" i="37"/>
  <c r="G15" i="37" s="1"/>
  <c r="AL6" i="29"/>
  <c r="P25" i="37"/>
  <c r="P24" i="37"/>
  <c r="P39" i="37"/>
  <c r="G18" i="37"/>
  <c r="G19" i="38"/>
  <c r="P40" i="36"/>
  <c r="G14" i="36" s="1"/>
  <c r="P24" i="36"/>
  <c r="P50" i="36"/>
  <c r="G17" i="36" s="1"/>
  <c r="P27" i="36"/>
  <c r="AX7" i="29"/>
  <c r="AX6" i="29"/>
  <c r="AT7" i="29"/>
  <c r="AT6" i="29"/>
  <c r="AL7" i="29"/>
  <c r="Q3" i="26"/>
  <c r="Q4" i="26"/>
  <c r="T3" i="26"/>
  <c r="U3" i="26"/>
  <c r="T4" i="26"/>
  <c r="U4" i="26"/>
  <c r="R3" i="22"/>
  <c r="S3" i="22"/>
  <c r="O3" i="22"/>
  <c r="Q4" i="22"/>
  <c r="O4" i="22"/>
  <c r="R4" i="22"/>
  <c r="S4" i="22"/>
  <c r="P3" i="22"/>
  <c r="Q3" i="22"/>
  <c r="P4" i="22"/>
  <c r="X4" i="22"/>
  <c r="T4" i="22"/>
  <c r="X3" i="22"/>
  <c r="U4" i="22"/>
  <c r="U3" i="22"/>
  <c r="W3" i="22"/>
  <c r="W4" i="22"/>
  <c r="V4" i="22"/>
  <c r="V3" i="22"/>
  <c r="T3" i="22"/>
  <c r="G10" i="44" l="1"/>
  <c r="AO4" i="22"/>
  <c r="AO3" i="22"/>
  <c r="AO7" i="29"/>
  <c r="AO6" i="29"/>
  <c r="G13" i="38"/>
  <c r="P38" i="36"/>
  <c r="P40" i="37"/>
  <c r="AN6" i="29"/>
  <c r="P59" i="37"/>
  <c r="G16" i="38"/>
  <c r="P41" i="36"/>
  <c r="AN7" i="29"/>
  <c r="P42" i="36"/>
  <c r="G15" i="36" s="1"/>
  <c r="G16" i="37"/>
  <c r="P39" i="36"/>
  <c r="G13" i="36" s="1"/>
  <c r="AP6" i="29"/>
  <c r="AP7" i="29"/>
  <c r="AM6" i="29"/>
  <c r="AM7" i="29"/>
  <c r="G10" i="38" l="1"/>
  <c r="G11" i="37"/>
  <c r="P59" i="36"/>
  <c r="G10" i="36" s="1"/>
  <c r="BG7" i="29"/>
  <c r="BG6" i="2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9763E0-D718-46C6-8174-67C6F02644A1}" keepAlive="1" name="Consulta - #PMT-AnoMes-Unv-Calculo" description="Conexão com a consulta '#PMT-AnoMes-Unv-Calculo' na pasta de trabalho." type="5" refreshedVersion="0" background="1">
    <dbPr connection="Provider=Microsoft.Mashup.OleDb.1;Data Source=$Workbook$;Location=#PMT-AnoMes-Unv-Calculo;Extended Properties=&quot;&quot;" command="SELECT * FROM [#PMT-AnoMes-Unv-Calculo]"/>
  </connection>
  <connection id="2" xr16:uid="{2B14AB75-CE93-4B5B-B3DC-18231B9525AE}" name="Consulta - Cota-Demanda" description="Conexão com a consulta 'Cota-Demanda' na pasta de trabalho." type="100" refreshedVersion="6" minRefreshableVersion="5">
    <extLst>
      <ext xmlns:x15="http://schemas.microsoft.com/office/spreadsheetml/2010/11/main" uri="{DE250136-89BD-433C-8126-D09CA5730AF9}">
        <x15:connection id="d4cf31fb-312e-4940-a1da-e4d0ccbb6b35"/>
      </ext>
    </extLst>
  </connection>
  <connection id="3" xr16:uid="{E57678AE-7C6E-481B-B9BB-EDFD7D773216}" name="Consulta - Cota-Venda(1)" description="Conexão com a consulta 'Cota-Venda' na pasta de trabalho." type="100" refreshedVersion="6" minRefreshableVersion="5">
    <extLst>
      <ext xmlns:x15="http://schemas.microsoft.com/office/spreadsheetml/2010/11/main" uri="{DE250136-89BD-433C-8126-D09CA5730AF9}">
        <x15:connection id="7eb7c1ba-7639-471a-811d-77656dab94dc"/>
      </ext>
    </extLst>
  </connection>
  <connection id="4" xr16:uid="{EAC1AD17-9FA0-49E4-B783-B2DFDBEF2A24}" name="Consulta - Datas" description="Conexão com a consulta 'Datas' na pasta de trabalho." type="100" refreshedVersion="6" minRefreshableVersion="5">
    <extLst>
      <ext xmlns:x15="http://schemas.microsoft.com/office/spreadsheetml/2010/11/main" uri="{DE250136-89BD-433C-8126-D09CA5730AF9}">
        <x15:connection id="10a88c3b-3c4d-4c7b-8a86-3c13e03568d8"/>
      </ext>
    </extLst>
  </connection>
  <connection id="5" xr16:uid="{4383138B-8AF6-42DB-A2F2-8D851E963D56}" name="Consulta - Demanda" description="Conexão com a consulta 'Demanda' na pasta de trabalho." type="100" refreshedVersion="6" minRefreshableVersion="5">
    <extLst>
      <ext xmlns:x15="http://schemas.microsoft.com/office/spreadsheetml/2010/11/main" uri="{DE250136-89BD-433C-8126-D09CA5730AF9}">
        <x15:connection id="d126f841-bd2e-494f-8147-90bb5747ead1"/>
      </ext>
    </extLst>
  </connection>
  <connection id="6" xr16:uid="{0DBB8598-76A8-4A59-812A-601A3CA5D015}" keepAlive="1" name="Consulta - Demanda-IV-GR" description="Conexão com a consulta 'Demanda-IV-GR' na pasta de trabalho." type="5" refreshedVersion="6" background="1" saveData="1">
    <dbPr connection="Provider=Microsoft.Mashup.OleDb.1;Data Source=$Workbook$;Location=Demanda-IV-GR;Extended Properties=&quot;&quot;" command="SELECT * FROM [Demanda-IV-GR]"/>
  </connection>
  <connection id="7" xr16:uid="{7BF16F26-CCA2-4936-B182-41CB40FD50F0}" name="Consulta - Demanda-IV-REP" description="Conexão com a consulta 'Demanda-IV-REP' na pasta de trabalho." type="100" refreshedVersion="6" minRefreshableVersion="5">
    <extLst>
      <ext xmlns:x15="http://schemas.microsoft.com/office/spreadsheetml/2010/11/main" uri="{DE250136-89BD-433C-8126-D09CA5730AF9}">
        <x15:connection id="bfc24355-c918-499d-a2b9-448da303918c"/>
      </ext>
    </extLst>
  </connection>
  <connection id="8" xr16:uid="{610766D6-E38E-4B0C-954E-271AF1AD8D7E}" name="Consulta - Distribuidores" description="Conexão com a consulta 'Distribuidores' na pasta de trabalho." type="100" refreshedVersion="6" minRefreshableVersion="5">
    <extLst>
      <ext xmlns:x15="http://schemas.microsoft.com/office/spreadsheetml/2010/11/main" uri="{DE250136-89BD-433C-8126-D09CA5730AF9}">
        <x15:connection id="65cda990-6f7d-430b-a9e2-67fd36e01191"/>
      </ext>
    </extLst>
  </connection>
  <connection id="9" xr16:uid="{5580EEF4-29A7-465B-B69A-8E6F22504131}" name="Consulta - Estabelecimentos" description="Conexão com a consulta 'Estabelecimentos' na pasta de trabalho." type="100" refreshedVersion="6" minRefreshableVersion="5">
    <extLst>
      <ext xmlns:x15="http://schemas.microsoft.com/office/spreadsheetml/2010/11/main" uri="{DE250136-89BD-433C-8126-D09CA5730AF9}">
        <x15:connection id="79759b53-ea9f-45c2-9686-06a67c47fdcf"/>
      </ext>
    </extLst>
  </connection>
  <connection id="10" xr16:uid="{790EFC7E-67C8-4DD0-B0D9-D3E5669D5B58}" name="Consulta - Gerentes" description="Conexão com a consulta 'Gerentes' na pasta de trabalho." type="100" refreshedVersion="6" minRefreshableVersion="5">
    <extLst>
      <ext xmlns:x15="http://schemas.microsoft.com/office/spreadsheetml/2010/11/main" uri="{DE250136-89BD-433C-8126-D09CA5730AF9}">
        <x15:connection id="bc2dae0a-dba8-4bb9-bf9f-29262e3f6ebd"/>
      </ext>
    </extLst>
  </connection>
  <connection id="11" xr16:uid="{3E4EE93B-FDA8-4147-B85A-EF282557269F}" name="Consulta - Produtos" description="Conexão com a consulta 'Produtos' na pasta de trabalho." type="100" refreshedVersion="6" minRefreshableVersion="5">
    <extLst>
      <ext xmlns:x15="http://schemas.microsoft.com/office/spreadsheetml/2010/11/main" uri="{DE250136-89BD-433C-8126-D09CA5730AF9}">
        <x15:connection id="c94011c8-834e-406b-a709-4c8b2c9e4a5d"/>
      </ext>
    </extLst>
  </connection>
  <connection id="12" xr16:uid="{20BB0BA3-6FC0-4915-8CC2-467CAA3D75CD}" name="Consulta - Produtos-Linhas" description="Conexão com a consulta 'Produtos-Linhas' na pasta de trabalho." type="100" refreshedVersion="6" minRefreshableVersion="5">
    <extLst>
      <ext xmlns:x15="http://schemas.microsoft.com/office/spreadsheetml/2010/11/main" uri="{DE250136-89BD-433C-8126-D09CA5730AF9}">
        <x15:connection id="ef3d0d95-dac7-46f5-a9c9-99153edf36a4"/>
      </ext>
    </extLst>
  </connection>
  <connection id="13" xr16:uid="{7D6C49A9-6200-46E0-8B44-19B5280BF4D3}" name="Consulta - Representantes" description="Conexão com a consulta 'Representantes' na pasta de trabalho." type="100" refreshedVersion="6" minRefreshableVersion="5">
    <extLst>
      <ext xmlns:x15="http://schemas.microsoft.com/office/spreadsheetml/2010/11/main" uri="{DE250136-89BD-433C-8126-D09CA5730AF9}">
        <x15:connection id="771f5769-f090-4acb-84b7-ab6b1ed2d871"/>
      </ext>
    </extLst>
  </connection>
  <connection id="14" xr16:uid="{57960F70-9DB8-4C24-B3D1-E0FDB79B365D}" name="Consulta - Representantes-EMH" description="Conexão com a consulta 'Representantes-EMH' na pasta de trabalho." type="100" refreshedVersion="6" minRefreshableVersion="5">
    <extLst>
      <ext xmlns:x15="http://schemas.microsoft.com/office/spreadsheetml/2010/11/main" uri="{DE250136-89BD-433C-8126-D09CA5730AF9}">
        <x15:connection id="c5f54009-521d-4c95-85a6-314263b482d7"/>
      </ext>
    </extLst>
  </connection>
  <connection id="15" xr16:uid="{8AA4A28E-8661-4003-BF03-00F95078317F}" name="Consulta - Representantes-ESP" description="Conexão com a consulta 'Representantes-ESP' na pasta de trabalho." type="100" refreshedVersion="6" minRefreshableVersion="5">
    <extLst>
      <ext xmlns:x15="http://schemas.microsoft.com/office/spreadsheetml/2010/11/main" uri="{DE250136-89BD-433C-8126-D09CA5730AF9}">
        <x15:connection id="701ffb5c-57a1-4f49-8306-bc0b80a21f5a"/>
      </ext>
    </extLst>
  </connection>
  <connection id="16" xr16:uid="{3087330E-487B-4532-A37A-BBDC09E61F5E}" name="Consulta - Representantes-HSP" description="Conexão com a consulta 'Representantes-HSP' na pasta de trabalho." type="100" refreshedVersion="6" minRefreshableVersion="5">
    <extLst>
      <ext xmlns:x15="http://schemas.microsoft.com/office/spreadsheetml/2010/11/main" uri="{DE250136-89BD-433C-8126-D09CA5730AF9}">
        <x15:connection id="1815781c-e62c-49e2-a8cf-032abd335e24"/>
      </ext>
    </extLst>
  </connection>
  <connection id="17" xr16:uid="{FB991907-9619-4DB4-B000-C2F2BE64FED1}" name="Consulta - Representantes-IV" description="Conexão com a consulta 'Representantes-IV' na pasta de trabalho." type="100" refreshedVersion="6" minRefreshableVersion="5">
    <extLst>
      <ext xmlns:x15="http://schemas.microsoft.com/office/spreadsheetml/2010/11/main" uri="{DE250136-89BD-433C-8126-D09CA5730AF9}">
        <x15:connection id="c9da0d8f-763e-4f03-975e-b3b322a92ed6"/>
      </ext>
    </extLst>
  </connection>
  <connection id="18" xr16:uid="{DA87E245-B02B-4698-9461-65130138C057}" keepAlive="1" name="Consulta - Ultima-Atualizacao-DADOS" description="Conexão com a consulta 'Ultima-Atualizacao-DADOS' na pasta de trabalho." type="5" refreshedVersion="6" background="1" saveData="1">
    <dbPr connection="Provider=Microsoft.Mashup.OleDb.1;Data Source=$Workbook$;Location=Ultima-Atualizacao-DADOS;Extended Properties=&quot;&quot;" command="SELECT * FROM [Ultima-Atualizacao-DADOS]"/>
  </connection>
  <connection id="19" xr16:uid="{A93FFBD3-43FB-4728-9136-5E1197FA1F3D}" keepAlive="1" name="Consulta - Ultima-Atualizacao-RPT" description="Conexão com a consulta 'Ultima-Atualizacao-RPT' na pasta de trabalho." type="5" refreshedVersion="6" background="1" saveData="1">
    <dbPr connection="Provider=Microsoft.Mashup.OleDb.1;Data Source=$Workbook$;Location=Ultima-Atualizacao-RPT;Extended Properties=&quot;&quot;" command="SELECT * FROM [Ultima-Atualizacao-RPT]"/>
  </connection>
  <connection id="20" xr16:uid="{0A42FD1C-9B7F-4895-97FC-8E77623C6DF0}" name="Consulta - Valores-Gerentes" description="Conexão com a consulta 'Valores-Gerentes' na pasta de trabalho." type="100" refreshedVersion="6" minRefreshableVersion="5">
    <extLst>
      <ext xmlns:x15="http://schemas.microsoft.com/office/spreadsheetml/2010/11/main" uri="{DE250136-89BD-433C-8126-D09CA5730AF9}">
        <x15:connection id="24de1eec-4a98-4112-9268-8b7e32d328e5"/>
      </ext>
    </extLst>
  </connection>
  <connection id="21" xr16:uid="{350B27C9-DB77-498A-AE15-7FA1092860A9}" name="Consulta - Valores-Representantes-EMH" description="Conexão com a consulta 'Valores-Representantes-EMH' na pasta de trabalho." type="100" refreshedVersion="6" minRefreshableVersion="5">
    <extLst>
      <ext xmlns:x15="http://schemas.microsoft.com/office/spreadsheetml/2010/11/main" uri="{DE250136-89BD-433C-8126-D09CA5730AF9}">
        <x15:connection id="2bfc9d3e-7239-41b5-9a41-46f8d7cd6143"/>
      </ext>
    </extLst>
  </connection>
  <connection id="22" xr16:uid="{20E7D3CB-F105-4B76-B502-D125D25DD7F8}" name="Consulta - Valores-Representantes-ESP" description="Conexão com a consulta 'Valores-Representantes-ESP' na pasta de trabalho." type="100" refreshedVersion="6" minRefreshableVersion="5">
    <extLst>
      <ext xmlns:x15="http://schemas.microsoft.com/office/spreadsheetml/2010/11/main" uri="{DE250136-89BD-433C-8126-D09CA5730AF9}">
        <x15:connection id="3bce1b71-38c4-489c-add7-7699235efa89"/>
      </ext>
    </extLst>
  </connection>
  <connection id="23" xr16:uid="{9784607C-206D-49BA-B2C8-467BB28AA8CB}" name="Consulta - Valores-Representantes-HSP" description="Conexão com a consulta 'Valores-Representantes-HSP' na pasta de trabalho." type="100" refreshedVersion="6" minRefreshableVersion="5">
    <extLst>
      <ext xmlns:x15="http://schemas.microsoft.com/office/spreadsheetml/2010/11/main" uri="{DE250136-89BD-433C-8126-D09CA5730AF9}">
        <x15:connection id="2c3c6ed5-fad3-45c4-aace-c47b9da23415"/>
      </ext>
    </extLst>
  </connection>
  <connection id="24" xr16:uid="{0F8C6F56-41D8-4952-9A6C-27E1F53A0A68}" name="Consulta - Venda" description="Conexão com a consulta 'Venda' na pasta de trabalho." type="100" refreshedVersion="6" minRefreshableVersion="5">
    <extLst>
      <ext xmlns:x15="http://schemas.microsoft.com/office/spreadsheetml/2010/11/main" uri="{DE250136-89BD-433C-8126-D09CA5730AF9}">
        <x15:connection id="0052e240-284f-4cac-8a74-f9328afb56d3"/>
      </ext>
    </extLst>
  </connection>
  <connection id="25" xr16:uid="{05669AD4-FAA6-40E7-B5F0-BC52075A9C3C}" name="Consulta - Visitas-Outros" description="Conexão com a consulta 'Visitas-Outros' na pasta de trabalho." type="100" refreshedVersion="6" minRefreshableVersion="5">
    <extLst>
      <ext xmlns:x15="http://schemas.microsoft.com/office/spreadsheetml/2010/11/main" uri="{DE250136-89BD-433C-8126-D09CA5730AF9}">
        <x15:connection id="e9eceedc-d7cd-472b-bbe5-f9d961a63252"/>
      </ext>
    </extLst>
  </connection>
  <connection id="26" xr16:uid="{22AE5E40-83A4-4C29-A863-809F90A38757}" keepAlive="1" name="ModelConnection_DadosExternos_1" description="Modelo de Dados" type="5" refreshedVersion="6" minRefreshableVersion="5" saveData="1">
    <dbPr connection="Data Model Connection" command="Datas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9CBC7124-8D53-4D4D-8AE0-712FE1048AB7}" keepAlive="1" name="ModelConnection_DadosExternos_12" description="Modelo de Dados" type="5" refreshedVersion="6" minRefreshableVersion="5" saveData="1">
    <dbPr connection="Data Model Connection" command="Representantes-ESP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EB2048EB-EB39-44B8-9FC3-31EBAD8B1F45}" keepAlive="1" name="ModelConnection_DadosExternos_2" description="Modelo de Dados" type="5" refreshedVersion="6" minRefreshableVersion="5" saveData="1">
    <dbPr connection="Data Model Connection" command="Valores-Gerentes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EEF0F414-AE50-4FD3-A86C-4CA9B4B53405}" keepAlive="1" name="ModelConnection_DadosExternos_21" description="Modelo de Dados" type="5" refreshedVersion="6" minRefreshableVersion="5" saveData="1">
    <dbPr connection="Data Model Connection" command="Cota-Venda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9AA1E7E5-2CBD-47B9-8043-39F3DC95D874}" keepAlive="1" name="ModelConnection_DadosExternos_3" description="Modelo de Dados" type="5" refreshedVersion="6" minRefreshableVersion="5" saveData="1">
    <dbPr connection="Data Model Connection" command="Valores-Representantes-ESP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D568830E-9ACA-47EA-B711-9782DFCA98B2}" keepAlive="1" name="ModelConnection_DadosExternos_31" description="Modelo de Dados" type="5" refreshedVersion="6" minRefreshableVersion="5" saveData="1">
    <dbPr connection="Data Model Connection" command="Gerentes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698A679E-29BF-4911-A357-74DC3C3D3541}" keepAlive="1" name="ModelConnection_DadosExternos_32" description="Modelo de Dados" type="5" refreshedVersion="6" minRefreshableVersion="5" saveData="1">
    <dbPr connection="Data Model Connection" command="Representantes-IV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C4A0F551-7469-4860-8901-6FC9B81EACB9}" keepAlive="1" name="ModelConnection_DadosExternos_33" description="Modelo de Dados" type="5" refreshedVersion="6" minRefreshableVersion="5" saveData="1">
    <dbPr connection="Data Model Connection" command="Venda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6FF2155B-A442-4C06-864A-690BAECD3BB2}" keepAlive="1" name="ModelConnection_DadosExternos_4" description="Modelo de Dados" type="5" refreshedVersion="6" minRefreshableVersion="5" saveData="1">
    <dbPr connection="Data Model Connection" command="Valores-Representantes-HSP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905CB1A5-50DE-4AFA-8666-021F04A77F3F}" keepAlive="1" name="ModelConnection_DadosExternos_41" description="Modelo de Dados" type="5" refreshedVersion="6" minRefreshableVersion="5" saveData="1">
    <dbPr connection="Data Model Connection" command="Produtos-Linhas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41DDD508-5D44-4A9B-95CD-55737ADF3AD5}" keepAlive="1" name="ModelConnection_DadosExternos_42" description="Modelo de Dados" type="5" refreshedVersion="6" minRefreshableVersion="5" saveData="1">
    <dbPr connection="Data Model Connection" command="Cota-Demanda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A7475D80-D3F1-4942-8CFA-FF372A7B7FD5}" keepAlive="1" name="ModelConnection_DadosExternos_43" description="Modelo de Dados" type="5" refreshedVersion="6" minRefreshableVersion="5" saveData="1">
    <dbPr connection="Data Model Connection" command="Demanda-IV-REP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CBB0168A-F148-41CD-8E2E-7413931812D8}" keepAlive="1" name="ModelConnection_DadosExternos_44" description="Modelo de Dados" type="5" refreshedVersion="6" minRefreshableVersion="5" saveData="1">
    <dbPr connection="Data Model Connection" command="Visitas-Outros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E756CF42-5AB1-4812-963C-269D186B64C9}" keepAlive="1" name="ModelConnection_DadosExternos_5" description="Modelo de Dados" type="5" refreshedVersion="6" minRefreshableVersion="5" saveData="1">
    <dbPr connection="Data Model Connection" command="Valores-Representantes-EMH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01E214ED-2C78-4BD0-8A29-9DFCBABDAEE5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16">
    <s v="ThisWorkbookDataModel"/>
    <s v="{[Datas].[AnoMes-Fiscal].&amp;[2020/2021 (01-Jul)]}"/>
    <s v="{[Produtos-Linhas].[@-HSP].&amp;[True]}"/>
    <s v="{[Demanda].[@-Ministerio].&amp;[False]}"/>
    <s v="{[Demanda].[@-Distribuidor].&amp;[False]}"/>
    <s v="{[Demanda].[@-IV-Demanda].&amp;[True]}"/>
    <s v="{[Representantes-HSP].[@-Calculo-IV].&amp;[True]}"/>
    <s v="{[Produtos-Linhas].[@-ESP].&amp;[True]}"/>
    <s v="{[Representantes-ESP].[@-Calculo-IV].&amp;[True]}"/>
    <s v="{[Representantes-ESP].[#PK-Email-Representante-ESP].&amp;[bruna.claro@cslbehring.com]}"/>
    <s v="{[Produtos-Linhas].[@-EMH].&amp;[True]}"/>
    <s v="{[Representantes-EMH].[@-Calculo-IV].&amp;[True]}"/>
    <s v="{[Representantes-EMH].[#PK-Email-Representante-EMH].&amp;[wladimir.campelo@cslbehring.com]}"/>
    <s v="{[Gerentes].[#FK-Email-Gerente].&amp;[claudia.bueno@cslbehring.com]}"/>
    <s v="{[Gerentes].[@-Calculo-IV].&amp;[True]}"/>
    <s v="{[Representantes-HSP].[#PK-Email-Representante-HSP].&amp;[tathiana.ponce@cslbehring.com]}"/>
  </metadataStrings>
  <mdxMetadata count="1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</valueMetadata>
</metadata>
</file>

<file path=xl/sharedStrings.xml><?xml version="1.0" encoding="utf-8"?>
<sst xmlns="http://schemas.openxmlformats.org/spreadsheetml/2006/main" count="6681" uniqueCount="453">
  <si>
    <t>Ano-Fiscal</t>
  </si>
  <si>
    <t>Tri-Fiscal</t>
  </si>
  <si>
    <t>Mes-Fiscal</t>
  </si>
  <si>
    <t>RHOPHYLAC</t>
  </si>
  <si>
    <t>TETANOGAMMA</t>
  </si>
  <si>
    <t>ALBUREX</t>
  </si>
  <si>
    <t>BERINERT</t>
  </si>
  <si>
    <t>BERIPLAST</t>
  </si>
  <si>
    <t>BERIPLEX</t>
  </si>
  <si>
    <t>HAEMATE</t>
  </si>
  <si>
    <t>HAEMO</t>
  </si>
  <si>
    <t>HIZENTRA</t>
  </si>
  <si>
    <t>PRIVIGEN</t>
  </si>
  <si>
    <t>ZEMAIRA</t>
  </si>
  <si>
    <t>(MS)</t>
  </si>
  <si>
    <t>CLAUDIA BUENO (SPC/SPI)</t>
  </si>
  <si>
    <t>FERNANDO LEONY (CO/NO/NE)</t>
  </si>
  <si>
    <t>RAFAEL ESTEVES (RJ/SPI/SUL)</t>
  </si>
  <si>
    <t>2020/2021</t>
  </si>
  <si>
    <t>2020/2021 (1º Tri)</t>
  </si>
  <si>
    <t>01-Jul</t>
  </si>
  <si>
    <t>(Distribuidores) - Gerente Regional</t>
  </si>
  <si>
    <t>(ORFÃO) - Gerente Regional</t>
  </si>
  <si>
    <t>ALINE FONSECA HSP (RS)</t>
  </si>
  <si>
    <t>ANTONIO TUNES HSP (SPC)</t>
  </si>
  <si>
    <t>ARTUR JUNIOR HSP (SPI)</t>
  </si>
  <si>
    <t>BRUNA CLARO ESP (SPI)</t>
  </si>
  <si>
    <t>CHRISTIANE GARCIA ESP (SPC)</t>
  </si>
  <si>
    <t>EVELINE GOULART ESP (RJ)</t>
  </si>
  <si>
    <t>FERNANDA BORNHAUSEN HSP (SC/PR)</t>
  </si>
  <si>
    <t>IWENS SILVA EMH (MG/ES)</t>
  </si>
  <si>
    <t>JANAINA PALMIRO ESP (SPC)</t>
  </si>
  <si>
    <t>KAREN ROSA HSP (DF/GO/MS/MT/TO)</t>
  </si>
  <si>
    <t>KLEBER SILVA HSP (CE/MA/PI)</t>
  </si>
  <si>
    <t>LAIS MAGALHAES HSP (BA/AL/SE)</t>
  </si>
  <si>
    <t>LENILSON SILVA HSP (PB/PE/RN)</t>
  </si>
  <si>
    <t>MARCUS BASTOS HSP (RJ)</t>
  </si>
  <si>
    <t>MICHELE MORAES ESP (PR/SC/RS)</t>
  </si>
  <si>
    <t>MS</t>
  </si>
  <si>
    <t>ROMEU SOARES HSP (RJ)</t>
  </si>
  <si>
    <t>TATHIANA PONCE HSP (SPC)</t>
  </si>
  <si>
    <t>VALERIA BRAGA ESP (CE/MA/PI/BA/AL/SE/PB/PE/RN)</t>
  </si>
  <si>
    <t>WLADIMIR CAMPELO EMH (AC/AM/AP/PA/RO/RR/DF)</t>
  </si>
  <si>
    <t>A7355</t>
  </si>
  <si>
    <t>gerente.distribuidores@cslbehring.com</t>
  </si>
  <si>
    <t>distribuidores@vago</t>
  </si>
  <si>
    <t>#PK-AnoMes-Unv</t>
  </si>
  <si>
    <t>#Idx-Ano-Unv</t>
  </si>
  <si>
    <t>#Idx-Mes-Unv</t>
  </si>
  <si>
    <t>#Idx-Ano-Fiscal</t>
  </si>
  <si>
    <t>#Idx-Tri-Fiscal</t>
  </si>
  <si>
    <t>#Idx-Mes-Fiscal</t>
  </si>
  <si>
    <t>AnoMes-Fiscal</t>
  </si>
  <si>
    <t>2020/2021 (01-Jul)</t>
  </si>
  <si>
    <t>Datas</t>
  </si>
  <si>
    <t>#PK-Cobertura</t>
  </si>
  <si>
    <t>Valor-Base</t>
  </si>
  <si>
    <t>05.00%-Demanda-BERINERT</t>
  </si>
  <si>
    <t>02.50%-Demanda-BERIPLEX</t>
  </si>
  <si>
    <t>02.50%-Demanda-HAEMO</t>
  </si>
  <si>
    <t>10.00%-Demanda-HIZENTRA</t>
  </si>
  <si>
    <t>05.00%-Demanda-PRIVIGEN</t>
  </si>
  <si>
    <t>05.00%-Venda</t>
  </si>
  <si>
    <t>10.00%-Visitas</t>
  </si>
  <si>
    <t>10.00%-Connect-MInd</t>
  </si>
  <si>
    <t>30.00%-Gerente-Contas</t>
  </si>
  <si>
    <t>10.00%-Plateau</t>
  </si>
  <si>
    <t>10.00%-Compliance</t>
  </si>
  <si>
    <t>Check</t>
  </si>
  <si>
    <t>OK</t>
  </si>
  <si>
    <t>00.00%-Demanda-BERIPLEX</t>
  </si>
  <si>
    <t>00.00%-Demanda-HAEMO</t>
  </si>
  <si>
    <t>15.00%-Demanda-HIZENTRA</t>
  </si>
  <si>
    <t>00.00%-Demanda-BERINERT</t>
  </si>
  <si>
    <t>07.50%-Demanda-BERIPLEX</t>
  </si>
  <si>
    <t>07.50%-Demanda-HAEMO</t>
  </si>
  <si>
    <t>00.00%-Demanda-HIZENTRA</t>
  </si>
  <si>
    <t>10.00%-Demanda-PRIVIGEN</t>
  </si>
  <si>
    <t>Ultima-Atualizacao-RPT</t>
  </si>
  <si>
    <t>Ultima-Atualizacao-Dados</t>
  </si>
  <si>
    <t>(Distribuidores)</t>
  </si>
  <si>
    <t>(Ministerio ESP)</t>
  </si>
  <si>
    <t>(Orfão)</t>
  </si>
  <si>
    <t>(Vago) ESP (MG-ES)</t>
  </si>
  <si>
    <t>(Vago) ESP (NORTE/NORDESTE/CENTRO)</t>
  </si>
  <si>
    <t>(Vago) ESP (PR/SC/RS)</t>
  </si>
  <si>
    <t>(Vago) ESP (RJ)</t>
  </si>
  <si>
    <t>(Vago) ESP SPC</t>
  </si>
  <si>
    <t>(Vazio) ESP (NORTE/NORDESTE/CENTRO)</t>
  </si>
  <si>
    <t>(Vazio) ESP (SUL/SUDESTE_EXECETO-SP)</t>
  </si>
  <si>
    <t>(Vazio) ESP SPC/SPI</t>
  </si>
  <si>
    <t>Setorizacao</t>
  </si>
  <si>
    <t>@-IV-Demanda</t>
  </si>
  <si>
    <t>@-ESP</t>
  </si>
  <si>
    <t>rafael.esteves@cslbehring.com</t>
  </si>
  <si>
    <t>iwens.silva@cslbehring.com</t>
  </si>
  <si>
    <t>fernando.leony@cslbehring.com</t>
  </si>
  <si>
    <t>wladimir.campelo@cslbehring.com</t>
  </si>
  <si>
    <t>bruna.claro@cslbehring.com</t>
  </si>
  <si>
    <t>christiane.garcia@cslbehring.com</t>
  </si>
  <si>
    <t>eveline.goulart@cslbehring.com</t>
  </si>
  <si>
    <t>janaina.palmiro@cslbehring.com</t>
  </si>
  <si>
    <t>michele.moraes@cslbehring.com</t>
  </si>
  <si>
    <t>valeria.braga@cslbehring.com</t>
  </si>
  <si>
    <t>#FK-AnoMes-Unv</t>
  </si>
  <si>
    <t>#FK-Cod-Linha</t>
  </si>
  <si>
    <t>#FK-Cod-Produto</t>
  </si>
  <si>
    <t>#FK-CNPJ-Estabelecimento</t>
  </si>
  <si>
    <t>@-Ministerio</t>
  </si>
  <si>
    <t>@-Distribuidor</t>
  </si>
  <si>
    <t>#FK-Email-Gerente</t>
  </si>
  <si>
    <t>43164</t>
  </si>
  <si>
    <t>claudia.bueno@cslbehring.com</t>
  </si>
  <si>
    <t>tathiana.ponce@cslbehring.com</t>
  </si>
  <si>
    <t>representante-EMH-SP@csl</t>
  </si>
  <si>
    <t>artur.junior@cslbehring.com</t>
  </si>
  <si>
    <t>representante-ESP-NO@csl</t>
  </si>
  <si>
    <t>kleber.silva@cslbehring.com</t>
  </si>
  <si>
    <t>representante-ESP-SUL@csl</t>
  </si>
  <si>
    <t>representante-HSP-SUL@csl</t>
  </si>
  <si>
    <t>antonio.tunes@cslbehring.com</t>
  </si>
  <si>
    <t>vago.ESP.NO@vago.com</t>
  </si>
  <si>
    <t>karen.rosa@cslbehring.com</t>
  </si>
  <si>
    <t>representante-EMH-NO@csl</t>
  </si>
  <si>
    <t>marcus.bastos@cslbehring.com</t>
  </si>
  <si>
    <t>representante-EMH-SUL@csl</t>
  </si>
  <si>
    <t>aline.fonseca@cslbehring.com</t>
  </si>
  <si>
    <t>romeu.soares@cslbehring.com</t>
  </si>
  <si>
    <t>fernanda.bornhausen@cslbehring.com</t>
  </si>
  <si>
    <t>lenilson.silva@cslbehring.com</t>
  </si>
  <si>
    <t>lais.magalhaes@cslbehring.com</t>
  </si>
  <si>
    <t>representante-HSP-NO@csl</t>
  </si>
  <si>
    <t>OBKU115640</t>
  </si>
  <si>
    <t>OBMN515640</t>
  </si>
  <si>
    <t>vago.HSP.SPC@vago.com</t>
  </si>
  <si>
    <t>43613</t>
  </si>
  <si>
    <t>OBES035640</t>
  </si>
  <si>
    <t>17866</t>
  </si>
  <si>
    <t>43614</t>
  </si>
  <si>
    <t>43515</t>
  </si>
  <si>
    <t>43516</t>
  </si>
  <si>
    <t>43615</t>
  </si>
  <si>
    <t>gerente.ministerios@cslbehring.com</t>
  </si>
  <si>
    <t>ministerio.saude@vago</t>
  </si>
  <si>
    <t>gerente-regional@orfao</t>
  </si>
  <si>
    <t>orfao@orfao</t>
  </si>
  <si>
    <t>OBIA675640</t>
  </si>
  <si>
    <t>43514</t>
  </si>
  <si>
    <t>OBIA755640</t>
  </si>
  <si>
    <t>OBKL235640</t>
  </si>
  <si>
    <t>A8840</t>
  </si>
  <si>
    <t>Gerente</t>
  </si>
  <si>
    <t>@-Ativo</t>
  </si>
  <si>
    <t>@-Calculo-IV</t>
  </si>
  <si>
    <t>#PK-Cod-Linha</t>
  </si>
  <si>
    <t>Linha</t>
  </si>
  <si>
    <t>@-IV-Venda</t>
  </si>
  <si>
    <t>@-HSP</t>
  </si>
  <si>
    <t>@-EMH</t>
  </si>
  <si>
    <t>BERIGLOBINA</t>
  </si>
  <si>
    <t>FIBROGAMIN</t>
  </si>
  <si>
    <t>STREPTASE</t>
  </si>
  <si>
    <t>EQUIPO</t>
  </si>
  <si>
    <t>SANDOGLOBULINA</t>
  </si>
  <si>
    <t>BIOSTATE</t>
  </si>
  <si>
    <t>Cota BERINERT</t>
  </si>
  <si>
    <t>Cota BERIPLEX</t>
  </si>
  <si>
    <t>Cota HAEMO</t>
  </si>
  <si>
    <t>Cota HIZENTRA</t>
  </si>
  <si>
    <t>Cota PRIVIGEN</t>
  </si>
  <si>
    <t>#FK-Email-Representante</t>
  </si>
  <si>
    <t>#FK-Email-Representante_ESP</t>
  </si>
  <si>
    <t>#FK-Email-Representante_HSP</t>
  </si>
  <si>
    <t>#FK-Email-Representante_EMH</t>
  </si>
  <si>
    <t>@-Garantido</t>
  </si>
  <si>
    <t>Cota-Representante</t>
  </si>
  <si>
    <t>Cota-Gerente</t>
  </si>
  <si>
    <t>Demanda-IV</t>
  </si>
  <si>
    <t>Demanda BERINERT</t>
  </si>
  <si>
    <t>Demanda BERIPLEX</t>
  </si>
  <si>
    <t>Demanda HAEMO</t>
  </si>
  <si>
    <t>Demanda HIZENTRA</t>
  </si>
  <si>
    <t>Demanda PRIVIGEN</t>
  </si>
  <si>
    <t>Cota Demanda</t>
  </si>
  <si>
    <t>Cobertura BERINERT</t>
  </si>
  <si>
    <t>Cobertura BERIPLEX</t>
  </si>
  <si>
    <t>Cobertura HAEMO</t>
  </si>
  <si>
    <t>Cobertura HIZENTRA</t>
  </si>
  <si>
    <t>Cobertura PRIVIGEN</t>
  </si>
  <si>
    <t>Premio BERINERT</t>
  </si>
  <si>
    <t>Premio BERIPLEX</t>
  </si>
  <si>
    <t>Premio HAEMO</t>
  </si>
  <si>
    <t>Premio HIZENTRA</t>
  </si>
  <si>
    <t>Premio PRIVIGEN</t>
  </si>
  <si>
    <t>Calculo IV Gerentes</t>
  </si>
  <si>
    <t>Cobertura Mínima</t>
  </si>
  <si>
    <t>#PK-Email-Representante-ESP</t>
  </si>
  <si>
    <t>Representante-ESP</t>
  </si>
  <si>
    <t>ministerio.saude.ESP@vago.com</t>
  </si>
  <si>
    <t>representante-ESP-SP@csl</t>
  </si>
  <si>
    <t>setorizacao@wfb.com</t>
  </si>
  <si>
    <t>@</t>
  </si>
  <si>
    <t>vago.ESP.MG-ES@vago.com</t>
  </si>
  <si>
    <t>vago.ESP.RJ@vago.com</t>
  </si>
  <si>
    <t>vago.ESP.SPC@vago.com</t>
  </si>
  <si>
    <t>vago.ESP.SUL@vago.com</t>
  </si>
  <si>
    <t>Calculo IV Representantes ESP</t>
  </si>
  <si>
    <t>Garatido BERINERT</t>
  </si>
  <si>
    <t>Garantido BERIPLEX</t>
  </si>
  <si>
    <t>Garantido HIZENTRA</t>
  </si>
  <si>
    <t>Garantido HAEMO</t>
  </si>
  <si>
    <t>Garantido PRIVIGEN</t>
  </si>
  <si>
    <t>%-Garantido</t>
  </si>
  <si>
    <t>Garantido</t>
  </si>
  <si>
    <t>#PK-Email-Representante</t>
  </si>
  <si>
    <t>Representante</t>
  </si>
  <si>
    <t>VAZIO</t>
  </si>
  <si>
    <t>Check Equipe</t>
  </si>
  <si>
    <t>Demanda IV REP</t>
  </si>
  <si>
    <t>Representantes IV</t>
  </si>
  <si>
    <t>Pesos HSP</t>
  </si>
  <si>
    <t>Pesos ESP</t>
  </si>
  <si>
    <t>Pesos EMH</t>
  </si>
  <si>
    <t>Coluna Pesos</t>
  </si>
  <si>
    <t>Valor BERINERT</t>
  </si>
  <si>
    <t>Valor BERIPLEX</t>
  </si>
  <si>
    <t>Valor HAEMO</t>
  </si>
  <si>
    <t>Valor HIZENTRA</t>
  </si>
  <si>
    <t>Valor PRIVIGEN</t>
  </si>
  <si>
    <t>%-Garatido BERINERT</t>
  </si>
  <si>
    <t>%-Garantido BERIPLEX</t>
  </si>
  <si>
    <t>%-Garantido HAEMO</t>
  </si>
  <si>
    <t>%-Garantido HIZENTRA</t>
  </si>
  <si>
    <t>%-Garantido PRIVIGEN</t>
  </si>
  <si>
    <t>Cota-Venda</t>
  </si>
  <si>
    <t>OBKR115640</t>
  </si>
  <si>
    <t>Venda-UN</t>
  </si>
  <si>
    <t>Venda-EQ</t>
  </si>
  <si>
    <t>Venda-BRL</t>
  </si>
  <si>
    <t>Venda-IV</t>
  </si>
  <si>
    <t>A9556</t>
  </si>
  <si>
    <t>Cota Venda</t>
  </si>
  <si>
    <t>Venda</t>
  </si>
  <si>
    <t>Cobertura Venda</t>
  </si>
  <si>
    <t>Premio Venda</t>
  </si>
  <si>
    <t>Visitas-Meta</t>
  </si>
  <si>
    <t>Visitas-Realizadas</t>
  </si>
  <si>
    <t>@Garantido-Visitas</t>
  </si>
  <si>
    <t>%Realizado-Visitas</t>
  </si>
  <si>
    <t>%Realizado-Connect-Mind</t>
  </si>
  <si>
    <t>%Realizado-Aval-GR</t>
  </si>
  <si>
    <t>%Realizado-Plateau</t>
  </si>
  <si>
    <t>%Realizado-Compliance</t>
  </si>
  <si>
    <t>Visitas - Outros</t>
  </si>
  <si>
    <t>Meta Visitas</t>
  </si>
  <si>
    <t>Visitas</t>
  </si>
  <si>
    <t>Cobertura Visitas</t>
  </si>
  <si>
    <t>Premio Visitas</t>
  </si>
  <si>
    <t>Cobertura Connect Mind</t>
  </si>
  <si>
    <t>Cobertura Gerente Conta</t>
  </si>
  <si>
    <t>Cobertura Plateau</t>
  </si>
  <si>
    <t>Cobertura Compliance</t>
  </si>
  <si>
    <t>Premio Connect Mind</t>
  </si>
  <si>
    <t>Premio Gerente Conta</t>
  </si>
  <si>
    <t>Premio Plateau</t>
  </si>
  <si>
    <t>Premio Compliance</t>
  </si>
  <si>
    <t>Premio Total</t>
  </si>
  <si>
    <t>Rótulos de Linha</t>
  </si>
  <si>
    <t>Total Geral</t>
  </si>
  <si>
    <t>Equipe</t>
  </si>
  <si>
    <t>Cota</t>
  </si>
  <si>
    <t>Cobertura</t>
  </si>
  <si>
    <t>Prêmio</t>
  </si>
  <si>
    <t>Realizado</t>
  </si>
  <si>
    <t>Connect Mind</t>
  </si>
  <si>
    <t>Gerente Conta</t>
  </si>
  <si>
    <t>Plateau</t>
  </si>
  <si>
    <t>Compliance</t>
  </si>
  <si>
    <t>Venda Total Brasil</t>
  </si>
  <si>
    <t>E-Mail</t>
  </si>
  <si>
    <t>Período</t>
  </si>
  <si>
    <t>Prêmio Total</t>
  </si>
  <si>
    <t>Cálculo Incentivo</t>
  </si>
  <si>
    <t>Item</t>
  </si>
  <si>
    <t>#PK-Email-Representante-HSP</t>
  </si>
  <si>
    <t>Rótulos de Coluna</t>
  </si>
  <si>
    <t>TRUE</t>
  </si>
  <si>
    <t>FALSE</t>
  </si>
  <si>
    <t>Demanda IV (EQ)</t>
  </si>
  <si>
    <t xml:space="preserve">Cálculo de Incentivo elaborado, apurado e calculado por WFB Consultoria </t>
  </si>
  <si>
    <t xml:space="preserve"> ESPECIALIDADES (ESP) </t>
  </si>
  <si>
    <t>Faixa de Prêmio Garantido</t>
  </si>
  <si>
    <t>GERENTES REGIONAIS</t>
  </si>
  <si>
    <t xml:space="preserve"> Hospitalar (HSP)</t>
  </si>
  <si>
    <t>Equipe Mista (EMH)</t>
  </si>
  <si>
    <t>FAEPA - RIBEIRÃO PRETO-SP (57.722.118/0001-40)</t>
  </si>
  <si>
    <t>FUNDACAO CENTRO MEDICO DE CAMPINAS - CAMPINAS-SP (44.595.700/0001-41)</t>
  </si>
  <si>
    <t>HOSPITAL DE BASE - SÃO JOSÉ DO RIO PRETO-SP (60.003.761/0001-29)</t>
  </si>
  <si>
    <t>HOSPITAL DR ARISTOTELES OLIVEIRA MARTINS - PRESIDENTE PRUDENTE-SP (55.344.337/0001-08)</t>
  </si>
  <si>
    <t>HOSPITAL E MATERNIDADE CELSO PIERRO - CAMPINAS-SP (46.020.301/0002-69)</t>
  </si>
  <si>
    <t>HOSPITAL MUNICIPAL DR MARIO GATTI - CAMPINAS-SP (47.018.676/0001-76)</t>
  </si>
  <si>
    <t>HOSPITAL PADRE ALBINO - CATANDUVA-SP (47.074.851/0008-19)</t>
  </si>
  <si>
    <t>HOSPITAL SAO JOAQUIM - FRANCA-SP (50.486.026/0001-60)</t>
  </si>
  <si>
    <t>HOSPITAL UNIMED DE ARACATUBA - ARAÇATUBA-SP (51.093.193/0004-56)</t>
  </si>
  <si>
    <t>HOSPITAL UNIVERSITARIO SAO FRANCISCO NA PROV. DE DEUS - BRAGANÇA PAULISTA-SP (53.221.255/0051-00)</t>
  </si>
  <si>
    <t>SOBAM CENTRO MEDICO HOSPITALAR LTDA - JUNDIAÍ-SP (50.739.135/0017-09)</t>
  </si>
  <si>
    <t>UNIMED CAMPINAS - CAMPINAS-SP (46.124.624/0001-11)</t>
  </si>
  <si>
    <t>UNIMED CAMPINAS - CAMPINAS-SP (46.124.624/0026-70)</t>
  </si>
  <si>
    <t>UNIMED DE BOTUCATU HOSPITAL - BOTUCATU-SP (45.425.899/0004-75)</t>
  </si>
  <si>
    <t>UNIMED DE RIBEIRAO PRETO COOPERATIVA DE TRABALHO MEDICO - RIBEIRÃO PRETO-SP (45.232.246/0005-50)</t>
  </si>
  <si>
    <t>UNIMED SANTA BARBARA DOESTE AMERICANA UNIMED - AMERICANA-SP (48.628.366/0007-21)</t>
  </si>
  <si>
    <t>UNIMED SOROCABA - SOROCABA-SP (45.399.961/0002-30)</t>
  </si>
  <si>
    <t>ALBERT SABIN HOSPITAL E MATERNIDADE - ATIBAIA-SP (04.275.687/0001-29)</t>
  </si>
  <si>
    <t>ALERGO LOGICA DIAGNOSTICO EM ALERGIA LTDA ME - CAMPINAS-SP (10.447.300/0001-77)</t>
  </si>
  <si>
    <t>CENTRO DE REFERENCIA DA SAUDE DA MULHER - MATER - RIBEIRÃO PRETO-SP (57.722.118/0003-02)</t>
  </si>
  <si>
    <t>ESHO - HOSPITAL GERAL E MATERNIDADE MADRE MARIA THEODORA - CAMPINAS-SP (29.435.005/0084-56)</t>
  </si>
  <si>
    <t>HOME CARE CENE - SÃO JOSÉ DO RIO PRETO-SP (02.643.405/0001-73)</t>
  </si>
  <si>
    <t>HOSPITAL E MATERNIDADE UNIMED - RIO CLARO-SP (44.663.631/0005-90)</t>
  </si>
  <si>
    <t>HOSPITAL UNIMED LIMEIRA - LIMEIRA-SP (50.480.953/0002-53)</t>
  </si>
  <si>
    <t>HOSPITAL UNIMED SAO CARLOS - SÃO CARLOS-SP (45.359.213/0005-76)</t>
  </si>
  <si>
    <t>HOSPITAL VERA CRUZ S A - CAMPINAS-SP (46.009.718/0001-40)</t>
  </si>
  <si>
    <t>PREFEITURA MUNICIPAL DE CAMPINAS - CAMPINAS-SP (51.885.242/0001-40)</t>
  </si>
  <si>
    <t>SAUDE HOME CARE - CAMPINAS-SP (06.959.943/0001-22)</t>
  </si>
  <si>
    <t>UNIMED CATANDUVA - HOSPITAL SAO DOMINGOS - CATANDUVA-SP (45.118.429/0012-79)</t>
  </si>
  <si>
    <t>#PK-Email-Representante-EMH</t>
  </si>
  <si>
    <t>Grupo-IV-Representante</t>
  </si>
  <si>
    <t>Grupo-IV-Gerente</t>
  </si>
  <si>
    <t>@-Analisar</t>
  </si>
  <si>
    <t>BRASIL</t>
  </si>
  <si>
    <t>OUTROS PRODUTOS</t>
  </si>
  <si>
    <t>ALIANCA INSTITUTO DE ONCOLOGIA - BRASÍLIA-DF (09.104.513/0009-74)</t>
  </si>
  <si>
    <t>BENEFICENCIA NIPO BRASILEIRA DA AMAZONIA - BELÉM-PA (04.966.545/0003-70)</t>
  </si>
  <si>
    <t>CETTRO - CENTRO DE CANCER DE BRASILIA - BRASÍLIA-DF (00.520.237/0001-01)</t>
  </si>
  <si>
    <t>DEPOSITO - ARMAZEM MANAUS/AM - MANAUS-AM (12.361.267/0119-85)</t>
  </si>
  <si>
    <t>DF STAR - BRASÍLIA-DF (31.635.857/0006-16)</t>
  </si>
  <si>
    <t>EBSERH HOSPITAL UNIVERSITARIO DE SAO LUIS - SÃO LUÍS-MA (15.126.437/0004-96)</t>
  </si>
  <si>
    <t>ESHO - HOSPITAL ALVORADA DE BRASILIA - BRASÍLIA-DF (29.435.005/0046-20)</t>
  </si>
  <si>
    <t>FUNDACAO SANTA CASA - BELÉM-PA (04.929.345/0001-85)</t>
  </si>
  <si>
    <t>GRUPO ACREDITAR - BRASÍLIA-DF (03.989.821/0001-90)</t>
  </si>
  <si>
    <t>HOSPITAL ADVENTISTA DE BELEM - BELÉM-PA (83.367.342/0002-52)</t>
  </si>
  <si>
    <t>HOSPITAL ANCHIETA LTDA - BRASÍLIA-DF (02.560.878/0001-07)</t>
  </si>
  <si>
    <t>HOSPITAL BRASILIA - BRASÍLIA-DF (60.884.855/0022-89)</t>
  </si>
  <si>
    <t>HOSPITAL DAS CLINICAS - PARAUAPEBAS-PA (01.422.595/0001-36)</t>
  </si>
  <si>
    <t>HOSPITAL DAS FORCAS ARMADAS - BRASÍLIA-DF (03.568.867/0001-36)</t>
  </si>
  <si>
    <t>HOSPITAL DO CORACAO DO BRASIL (REDE DOR) - BRASÍLIA-DF (06.047.087/0042-07)</t>
  </si>
  <si>
    <t>HOSPITAL GUARAS - SÃO LUÍS-MA (12.361.267/0007-89)</t>
  </si>
  <si>
    <t>HOSPITAL REGIONAL DO BAIXO AM DO PARA DR WALDEMAR PENNA - SANTARÉM-PA (24.232.886/0083-03)</t>
  </si>
  <si>
    <t>HOSPITAL SANTA HELENA (REDE DOR) - BRASÍLIA-DF (00.049.791/0001-44)</t>
  </si>
  <si>
    <t>HOSPITAL SANTA MARTA LTDA - BRASÍLIA-DF (00.610.980/0001-44)</t>
  </si>
  <si>
    <t>HOSPITAL SAO DOMINGOS LTDA. - SÃO LUÍS-MA (11.006.293/0001-30)</t>
  </si>
  <si>
    <t>HOSPITAL SAO RAFAEL - IMPERATRIZ-MA (06.413.934/0001-31)</t>
  </si>
  <si>
    <t>HSL UNIDADE BRASILIA - BRASÍLIA-DF (61.590.410/0005-58)</t>
  </si>
  <si>
    <t>ICIPE - BRASÍLIA-DF (10.942.995/0001-63)</t>
  </si>
  <si>
    <t>IHBDF - BRASÍLIA-DF (28.481.233/0001-72)</t>
  </si>
  <si>
    <t>INSTITUTO DE CANCER DE BRASILIA LTDA - BRASÍLIA-DF (11.859.927/0001-06)</t>
  </si>
  <si>
    <t>LAR &amp; SAUDE ASSISTENCIA DOMICILIAR - SÃO LUÍS-MA (05.503.803/0003-44)</t>
  </si>
  <si>
    <t>MATERNIDADE BRASILIA - BRASÍLIA-DF (60.884.855/0019-83)</t>
  </si>
  <si>
    <t>NATUS LUMINE MATERNIDADE - SÃO LUÍS-MA (23.813.270/0001-17)</t>
  </si>
  <si>
    <t>PEDRO FLÁVIO - BELÉM-PA (123.710.092-53)</t>
  </si>
  <si>
    <t>PRIME HOME CARE - BRASÍLIA-DF (16.739.984/0001-67)</t>
  </si>
  <si>
    <t>SAMEL - MANAUS-AM (04.159.778/0001-07)</t>
  </si>
  <si>
    <t>UDI HOSPITAL - SÃO LUÍS-MA (02.284.062/0011-70)</t>
  </si>
  <si>
    <t>UNIMED DA AMAZONIA - FEDERACAO UNIMED DA AMAZONIA - MANAUS-AM (84.112.481/0001-17)</t>
  </si>
  <si>
    <t>UNIMED DE BELEM COOPERATIVA DE TRABALHO MEDICO - BELÉM-PA (04.201.372/0010-28)</t>
  </si>
  <si>
    <t>Demanda IV GR</t>
  </si>
  <si>
    <t>Peso GR</t>
  </si>
  <si>
    <t>A.C.CAMARGO CANCER CENTER - SÃO PAULO-SP (60.961.968/0001-06)</t>
  </si>
  <si>
    <t>AMICO SAUDE LTDA - MOJI DAS CRUZES-SP (51.722.957/0143-02)</t>
  </si>
  <si>
    <t>AMICO SAUDE LTDA - SÃO PAULO-SP (51.722.957/0102-26)</t>
  </si>
  <si>
    <t>AUTARQUIA HOSPITALAR MUNICIPAL - SÃO PAULO-SP (04.995.603/0001-21)</t>
  </si>
  <si>
    <t>BENEFICENCIA NIPO BRASILEIRA DE SAO PAULO - SÃO PAULO-SP (60.992.427/0006-50)</t>
  </si>
  <si>
    <t>CENTRAL CLINIC - SÃO PAULO-SP (02.383.508/0004-94)</t>
  </si>
  <si>
    <t>CIAT CENTRO DE INFUSAO ALTO TIETE LTDA - MOJI DAS CRUZES-SP (21.925.244/0001-55)</t>
  </si>
  <si>
    <t>COMPLEXO HOSPITALAR MUNICIPAL DE SAO BERNARDO DO CAMPO - SÃO BERNARDO DO CAMPO-SP (57.571.275/0017-60)</t>
  </si>
  <si>
    <t>CONJUNTO HOSPITALAR DO MANDAQUI - SÃO PAULO-SP (46.374.500/0088-45)</t>
  </si>
  <si>
    <t>COORDENADORIA DE ASSISTENCIA FARMACEUTICA - SÃO PAULO-SP (46.374.500/0262-31)</t>
  </si>
  <si>
    <t>DA MATTA AIN CLINICA DE VACINA LTDA - TAUBATÉ-SP (29.929.600/0001-10)</t>
  </si>
  <si>
    <t>ESHO EMPRESA DE SERVICOS HOSPITALARES - SÃO PAULO-SP (29.435.005/0099-32)</t>
  </si>
  <si>
    <t>FUNDO MUNICIPAL DE SAUDE - FMS - SÃO PAULO-SP (13.864.377/0001-30)</t>
  </si>
  <si>
    <t>GLOBAL CARE ASSISTENCIA DOMICILIAR LTDA - SÃO PAULO-SP (03.872.790/0001-93)</t>
  </si>
  <si>
    <t>HCFMB - BOTUCATU-SP (12.474.705/0001-20)</t>
  </si>
  <si>
    <t>HEMOMED - SÃO PAULO-SP (10.475.230/0001-60)</t>
  </si>
  <si>
    <t>HOME HEALTH CARE DOCTOR SERVICOS MEDICOS DOMICILIARES S/S LTDA - SÃO PAULO-SP (00.603.226/0001-87)</t>
  </si>
  <si>
    <t>HOSP.E MATERN. BENEFICENCIA PORTUGUESA DE SANTO ANDRE - SANTO ANDRÉ-SP (57.507.402/0001-02)</t>
  </si>
  <si>
    <t>HOSPITAL 9 DE JULHO - SÃO PAULO-SP (60.884.855/0003-16)</t>
  </si>
  <si>
    <t>HOSPITAL A.C.CAMARGO - TAMANDARE - SÃO PAULO-SP (60.961.968/0004-59)</t>
  </si>
  <si>
    <t>HOSPITAL ACACIAS - SANTO ANDRÉ-SP (13.718.999/0010-41)</t>
  </si>
  <si>
    <t>HOSPITAL ALEMAO OSWALDO CRUZ - SÃO PAULO-SP (60.726.502/0001-26)</t>
  </si>
  <si>
    <t>HOSPITAL ALEMAO OSWALDO CRUZ - SÃO PAULO-SP (60.726.502/0007-11)</t>
  </si>
  <si>
    <t>HOSPITAL BANDEIRANTES LTDA - SÃO PAULO-SP (21.371.777/0001-32)</t>
  </si>
  <si>
    <t>HOSPITAL DAS CLINICAS DA FACULDADE DE MEDICINA DA U S P - SÃO PAULO-SP (60.448.040/0001-22)</t>
  </si>
  <si>
    <t>HOSPITAL DO CORACAO - SÃO PAULO-SP (60.453.024/0003-90)</t>
  </si>
  <si>
    <t>HOSPITAL E MATERNIDADE DR CHRISTOVAO DA GAMA S A - SANTO ANDRÉ-SP (57.482.903/0001-73)</t>
  </si>
  <si>
    <t>HOSPITAL E MATERNIDADE SANTA JOANA S/A - SÃO PAULO-SP (60.678.604/0001-13)</t>
  </si>
  <si>
    <t>HOSPITAL E MATERNIDADE SANTA MARIA - SÃO PAULO-SP (62.106.505/0001-92)</t>
  </si>
  <si>
    <t>HOSPITAL E MATERNIDADE SAO CRISTOVAO - SÃO PAULO-SP (60.975.174/0003-63)</t>
  </si>
  <si>
    <t>HOSPITAL GERAL DE PIRAJUSSARA - TABOÃO DA SERRA-SP (61.699.567/0004-35)</t>
  </si>
  <si>
    <t>HOSPITAL GUILHERME ALVARO - SANTOS-SP (46.374.500/0016-70)</t>
  </si>
  <si>
    <t>HOSPITAL INFANTIL SABARA - SÃO PAULO-SP (61.213.674/0002-40)</t>
  </si>
  <si>
    <t>HOSPITAL MATERNIDADE FREI GALVAO - GUARATINGUETÁ-SP (51.612.828/0001-31)</t>
  </si>
  <si>
    <t>HOSPITAL PAULO SACRAMENTO - JUNDIAÍ-SP (44.649.812/0016-14)</t>
  </si>
  <si>
    <t>HOSPITAL POLICLIN - SÃO JOSÉ DOS CAMPOS-SP (45.184.066/0001-17)</t>
  </si>
  <si>
    <t>HOSPITAL REGIONAL DE SOROCABA - BATA BRANCA - SOROCABA-SP (61.699.567/0078-71)</t>
  </si>
  <si>
    <t>HOSPITAL REGIONAL DO VALE DO PARAIBA - TAUBATÉ-SP (60.975.737/0072-45)</t>
  </si>
  <si>
    <t>HOSPITAL REGIONAL SUL - SÃO PAULO-SP (46.374.500/0112-00)</t>
  </si>
  <si>
    <t>HOSPITAL SANTA CATARINA - SÃO PAULO-SP (60.922.168/0007-71)</t>
  </si>
  <si>
    <t>HOSPITAL SANTA CRUZ - SÃO PAULO-SP (60.552.098/0001-11)</t>
  </si>
  <si>
    <t>HOSPITAL SANTA PAULA LTDA - SÃO PAULO-SP (60.777.901/0001-16)</t>
  </si>
  <si>
    <t>HOSPITAL SAO CAMILO - IPIRANGA - SÃO PAULO-SP (60.975.737/0051-10)</t>
  </si>
  <si>
    <t>HOSPITAL SAO CAMILO - POMPEIA - SÃO PAULO-SP (60.975.737/0002-32)</t>
  </si>
  <si>
    <t>HOSPITAL SAO CAMILO - SANTANA - SÃO PAULO-SP (60.975.737/0012-04)</t>
  </si>
  <si>
    <t>HOSPITAL SAO LUCAS - RIBEIRÃO PRETO-SP (55.980.148/0001-21)</t>
  </si>
  <si>
    <t>HOSPITAL SAO LUIZ UNIDADE ITAIM (REDE DOR) - SÃO PAULO-SP (06.047.087/0002-10)</t>
  </si>
  <si>
    <t>HOSPITAL UNIMED - BAURU-SP (44.456.036/0003-11)</t>
  </si>
  <si>
    <t>HOSPITAL VILA NOVA STAR - SÃO PAULO-SP (28.290.788/0001-37)</t>
  </si>
  <si>
    <t>HOSPITAL VIVALLE (REDE DOR) - SÃO JOSÉ DOS CAMPOS-SP (06.047.087/0030-73)</t>
  </si>
  <si>
    <t>IDEAL CARE - SÃO PAULO-SP (02.853.951/0001-39)</t>
  </si>
  <si>
    <t>INSTITUTO DANTE PAZZANESE DE CARDIOLOGIA - SÃO PAULO-SP (46.374.500/0009-41)</t>
  </si>
  <si>
    <t>INSTITUTO DE INFECTOLOGIA EMILIO RIBAS - SÃO PAULO-SP (46.374.500/0008-60)</t>
  </si>
  <si>
    <t>INSTITUTO DE ONCOLOGIA PREVENT SENIOR - SÃO PAULO-SP (00.461.479/0045-84)</t>
  </si>
  <si>
    <t>INTERMEDICA ASISTEMA DE SAUDE - SÃO PAULO-SP (44.649.812/0069-26)</t>
  </si>
  <si>
    <t>IRMANDADE DA SANTA CASA DE MISERICORDIA DE SAO PAULO - SÃO PAULO-SP (62.779.145/0001-90)</t>
  </si>
  <si>
    <t>JAVIER CARBAJAL ALLERGY AND IMMUNOLOGY INSTITUTE - SÃO PAULO-SP (03.940.825/0001-84)</t>
  </si>
  <si>
    <t>ONCOCENTER SERVICOS MEDICOS LTDA. - SÃO PAULO-SP (04.036.348/0001-90)</t>
  </si>
  <si>
    <t>ONCOEXPRESS - SÃO PAULO-SP (22.227.973/0001-09)</t>
  </si>
  <si>
    <t>ONCOLOGICA - SÃO PAULO-SP (00.856.925/0001-39)</t>
  </si>
  <si>
    <t>ONCOVIDA - TAUBATÉ-SP (03.511.658/0001-56)</t>
  </si>
  <si>
    <t>REAL E BENEMERITA ASSOCIACAO PORTUGUESA DE BENEFICENCIA - SÃO PAULO-SP (61.599.908/0001-58)</t>
  </si>
  <si>
    <t>SAHA SERVICOS MEDICOS E HOSPITALARES LTDA. - SÃO PAULO-SP (07.045.325/0001-30)</t>
  </si>
  <si>
    <t>SANTA CASA DE ITU - ITU-SP (60.975.737/0068-69)</t>
  </si>
  <si>
    <t>SANTA CASA SAUDE - SÃO JOSÉ DOS CAMPOS-SP (18.321.477/0001-34)</t>
  </si>
  <si>
    <t>SANTA HELENA ASSISTENCIA MEDICA S/A - SÃO BERNARDO DO CAMPO-SP (43.293.604/0021-20)</t>
  </si>
  <si>
    <t>SAUDE CARE GERENCIAMENTO DE INFRAESTRUTURA E ASSISTENCIA A SAUDE EIRELI - SANTOS-SP (05.094.642/0001-10)</t>
  </si>
  <si>
    <t>SEPACO - SÃO PAULO-SP (60.961.422/0001-55)</t>
  </si>
  <si>
    <t>SINGULAR MEDICAMENTOS ESPECIAIS - SÃO PAULO-SP (13.759.813/0001-01)</t>
  </si>
  <si>
    <t>SOC BENEFICIENTE DE SENHORAS HOSPITAL SIRIO LIBANES - SÃO PAULO-SP (61.590.410/0001-24)</t>
  </si>
  <si>
    <t>SOCIEDADE BENEFICENTE DE PRESIDENTE BERNARDES - SÃO PAULO-SP (19.803.199/0001-14)</t>
  </si>
  <si>
    <t>UNIMED DE SANTOS COOPERATIVA DE TRABALHO MEDICO - SANTOS-SP (58.229.691/0010-70)</t>
  </si>
  <si>
    <t>UNIMED SAO JOSE DOS CAMPOS - HOSPITAL SANTOS DUMONT - SÃO JOSÉ DOS CAMPOS-SP (60.214.517/0016-91)</t>
  </si>
  <si>
    <t>Gerente Regional</t>
  </si>
  <si>
    <t>VENDAS</t>
  </si>
  <si>
    <t>VISITAÇÃO</t>
  </si>
  <si>
    <t>CONNECT MIND</t>
  </si>
  <si>
    <t>GER CONTAS</t>
  </si>
  <si>
    <t>PLATEAU</t>
  </si>
  <si>
    <t>COMPLIANCE</t>
  </si>
  <si>
    <t>PRÊMIO TOTAL</t>
  </si>
  <si>
    <t>Cálculo IV</t>
  </si>
  <si>
    <r>
      <t>Cálculo Incentivo</t>
    </r>
    <r>
      <rPr>
        <b/>
        <sz val="16"/>
        <color rgb="FFFF0000"/>
        <rFont val="Calibri"/>
        <family val="2"/>
        <scheme val="minor"/>
      </rPr>
      <t xml:space="preserve"> CSL BEHRING</t>
    </r>
  </si>
  <si>
    <t>Total Gerentes Regionais</t>
  </si>
  <si>
    <t>Total Representantes</t>
  </si>
  <si>
    <t>REPRESENTANTES</t>
  </si>
  <si>
    <t>Total 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</si>
</sst>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R$&quot;\ #,##0.00;\-&quot;R$&quot;\ #,##0.00"/>
    <numFmt numFmtId="164" formatCode="&quot;R$&quot;\ #,##0.00"/>
  </numFmts>
  <fonts count="3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9"/>
      <color theme="0" tint="-0.499984740745262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6100"/>
      <name val="Calibri"/>
      <family val="2"/>
      <scheme val="minor"/>
    </font>
    <font>
      <i/>
      <sz val="10"/>
      <color rgb="FF0070C0"/>
      <name val="Calibri"/>
      <family val="2"/>
      <scheme val="minor"/>
    </font>
    <font>
      <sz val="10"/>
      <color rgb="FFFA7D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6"/>
      <color rgb="FF0070C0"/>
      <name val="Calibri"/>
      <family val="2"/>
      <scheme val="minor"/>
    </font>
    <font>
      <i/>
      <sz val="8"/>
      <color rgb="FF0070C0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i/>
      <sz val="9"/>
      <color rgb="FF0070C0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9"/>
      <color rgb="FF0070C0"/>
      <name val="Calibri"/>
      <family val="2"/>
      <scheme val="minor"/>
    </font>
    <font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0" tint="-4.9989318521683403E-2"/>
        <bgColor indexed="64"/>
      </patternFill>
    </fill>
    <fill>
      <patternFill patternType="lightDown"/>
    </fill>
    <fill>
      <patternFill patternType="lightUp">
        <bgColor theme="0" tint="-4.9989318521683403E-2"/>
      </patternFill>
    </fill>
    <fill>
      <patternFill patternType="solid">
        <fgColor rgb="FFFFFFCC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/>
        <bgColor indexed="64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theme="6"/>
      </top>
      <bottom style="thin">
        <color theme="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9" fontId="2" fillId="0" borderId="0" applyFont="0" applyFill="0" applyBorder="0" applyAlignment="0" applyProtection="0"/>
    <xf numFmtId="0" fontId="3" fillId="3" borderId="1" applyNumberFormat="0" applyAlignment="0" applyProtection="0"/>
    <xf numFmtId="0" fontId="14" fillId="4" borderId="1" applyNumberFormat="0" applyAlignment="0" applyProtection="0"/>
  </cellStyleXfs>
  <cellXfs count="120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9" fillId="0" borderId="0" xfId="0" applyFont="1"/>
    <xf numFmtId="0" fontId="9" fillId="0" borderId="0" xfId="0" applyFont="1" applyAlignment="1">
      <alignment vertical="center"/>
    </xf>
    <xf numFmtId="0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22" fontId="0" fillId="0" borderId="0" xfId="0" applyNumberFormat="1"/>
    <xf numFmtId="0" fontId="0" fillId="0" borderId="2" xfId="0" applyNumberFormat="1" applyFont="1" applyBorder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3" fillId="3" borderId="1" xfId="3" applyAlignment="1">
      <alignment horizontal="center" vertical="center"/>
    </xf>
    <xf numFmtId="0" fontId="8" fillId="5" borderId="0" xfId="0" applyNumberFormat="1" applyFont="1" applyFill="1" applyAlignment="1">
      <alignment horizontal="left" vertical="center"/>
    </xf>
    <xf numFmtId="0" fontId="0" fillId="0" borderId="0" xfId="0" applyFont="1" applyAlignment="1">
      <alignment vertical="center"/>
    </xf>
    <xf numFmtId="0" fontId="3" fillId="3" borderId="1" xfId="3" applyFont="1" applyAlignment="1">
      <alignment horizontal="center" vertical="center"/>
    </xf>
    <xf numFmtId="0" fontId="0" fillId="0" borderId="0" xfId="0" applyNumberFormat="1" applyFont="1" applyAlignment="1">
      <alignment vertical="center"/>
    </xf>
    <xf numFmtId="0" fontId="0" fillId="0" borderId="0" xfId="0" applyFont="1" applyAlignment="1">
      <alignment horizontal="center" vertical="center"/>
    </xf>
    <xf numFmtId="0" fontId="8" fillId="5" borderId="0" xfId="0" applyNumberFormat="1" applyFont="1" applyFill="1" applyAlignment="1">
      <alignment vertical="center"/>
    </xf>
    <xf numFmtId="3" fontId="0" fillId="0" borderId="0" xfId="0" applyNumberFormat="1" applyAlignment="1">
      <alignment vertical="center"/>
    </xf>
    <xf numFmtId="3" fontId="5" fillId="0" borderId="0" xfId="0" applyNumberFormat="1" applyFont="1" applyAlignment="1">
      <alignment vertical="center"/>
    </xf>
    <xf numFmtId="3" fontId="8" fillId="0" borderId="0" xfId="0" applyNumberFormat="1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right" vertical="center"/>
    </xf>
    <xf numFmtId="9" fontId="0" fillId="0" borderId="0" xfId="0" applyNumberFormat="1" applyAlignment="1">
      <alignment horizontal="center" vertical="center"/>
    </xf>
    <xf numFmtId="9" fontId="6" fillId="0" borderId="0" xfId="0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0" borderId="0" xfId="0" applyNumberFormat="1" applyFont="1" applyAlignment="1">
      <alignment horizontal="center" vertical="center"/>
    </xf>
    <xf numFmtId="10" fontId="0" fillId="0" borderId="2" xfId="0" applyNumberFormat="1" applyFont="1" applyBorder="1" applyAlignment="1">
      <alignment horizontal="center" vertical="center"/>
    </xf>
    <xf numFmtId="10" fontId="4" fillId="4" borderId="1" xfId="2" applyNumberFormat="1" applyFont="1" applyFill="1" applyBorder="1" applyAlignment="1">
      <alignment horizontal="left" vertical="center"/>
    </xf>
    <xf numFmtId="10" fontId="0" fillId="6" borderId="2" xfId="0" applyNumberFormat="1" applyFont="1" applyFill="1" applyBorder="1" applyAlignment="1">
      <alignment horizontal="center" vertical="center"/>
    </xf>
    <xf numFmtId="10" fontId="0" fillId="7" borderId="0" xfId="0" applyNumberFormat="1" applyFill="1" applyAlignment="1">
      <alignment horizontal="center" vertical="center"/>
    </xf>
    <xf numFmtId="0" fontId="10" fillId="8" borderId="0" xfId="0" applyFont="1" applyFill="1" applyAlignment="1">
      <alignment horizontal="center"/>
    </xf>
    <xf numFmtId="0" fontId="10" fillId="8" borderId="0" xfId="0" applyNumberFormat="1" applyFont="1" applyFill="1"/>
    <xf numFmtId="0" fontId="10" fillId="8" borderId="0" xfId="0" applyFont="1" applyFill="1" applyAlignment="1">
      <alignment horizontal="center" vertical="center"/>
    </xf>
    <xf numFmtId="0" fontId="10" fillId="8" borderId="0" xfId="0" applyNumberFormat="1" applyFont="1" applyFill="1" applyAlignment="1">
      <alignment vertical="center"/>
    </xf>
    <xf numFmtId="0" fontId="6" fillId="0" borderId="0" xfId="0" applyFont="1" applyAlignment="1">
      <alignment vertical="center"/>
    </xf>
    <xf numFmtId="0" fontId="11" fillId="0" borderId="0" xfId="0" applyFont="1"/>
    <xf numFmtId="0" fontId="0" fillId="0" borderId="0" xfId="0" applyAlignment="1">
      <alignment horizontal="center"/>
    </xf>
    <xf numFmtId="0" fontId="11" fillId="0" borderId="0" xfId="0" applyFont="1" applyAlignment="1">
      <alignment vertical="center"/>
    </xf>
    <xf numFmtId="0" fontId="8" fillId="8" borderId="0" xfId="0" applyFont="1" applyFill="1" applyAlignment="1">
      <alignment horizontal="center" vertical="center"/>
    </xf>
    <xf numFmtId="0" fontId="8" fillId="8" borderId="0" xfId="0" applyNumberFormat="1" applyFont="1" applyFill="1" applyAlignment="1">
      <alignment vertical="center"/>
    </xf>
    <xf numFmtId="0" fontId="17" fillId="0" borderId="0" xfId="0" applyFont="1" applyAlignment="1">
      <alignment horizontal="right" vertical="center"/>
    </xf>
    <xf numFmtId="10" fontId="7" fillId="5" borderId="0" xfId="0" applyNumberFormat="1" applyFont="1" applyFill="1" applyAlignment="1">
      <alignment horizontal="center" vertical="center"/>
    </xf>
    <xf numFmtId="10" fontId="7" fillId="5" borderId="0" xfId="2" applyNumberFormat="1" applyFont="1" applyFill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9" fontId="0" fillId="0" borderId="0" xfId="0" applyNumberFormat="1" applyFont="1" applyAlignment="1">
      <alignment horizontal="center" vertical="center"/>
    </xf>
    <xf numFmtId="7" fontId="12" fillId="0" borderId="0" xfId="0" applyNumberFormat="1" applyFont="1" applyAlignment="1">
      <alignment horizontal="center" vertical="center"/>
    </xf>
    <xf numFmtId="164" fontId="0" fillId="0" borderId="0" xfId="0" applyNumberFormat="1"/>
    <xf numFmtId="1" fontId="10" fillId="8" borderId="0" xfId="0" applyNumberFormat="1" applyFont="1" applyFill="1" applyAlignment="1">
      <alignment horizontal="center" vertical="center"/>
    </xf>
    <xf numFmtId="10" fontId="0" fillId="0" borderId="0" xfId="0" applyNumberFormat="1" applyAlignment="1">
      <alignment vertical="center"/>
    </xf>
    <xf numFmtId="10" fontId="10" fillId="8" borderId="0" xfId="0" applyNumberFormat="1" applyFont="1" applyFill="1" applyAlignment="1">
      <alignment horizontal="center" vertical="center"/>
    </xf>
    <xf numFmtId="10" fontId="10" fillId="8" borderId="0" xfId="0" applyNumberFormat="1" applyFont="1" applyFill="1" applyAlignment="1">
      <alignment vertical="center"/>
    </xf>
    <xf numFmtId="10" fontId="11" fillId="0" borderId="0" xfId="0" applyNumberFormat="1" applyFont="1" applyAlignment="1">
      <alignment vertical="center"/>
    </xf>
    <xf numFmtId="164" fontId="5" fillId="0" borderId="0" xfId="0" applyNumberFormat="1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19" fillId="5" borderId="4" xfId="0" applyFont="1" applyFill="1" applyBorder="1" applyAlignment="1">
      <alignment horizontal="center" vertical="center"/>
    </xf>
    <xf numFmtId="0" fontId="19" fillId="5" borderId="4" xfId="0" applyFont="1" applyFill="1" applyBorder="1" applyAlignment="1">
      <alignment vertical="center"/>
    </xf>
    <xf numFmtId="0" fontId="18" fillId="4" borderId="4" xfId="4" applyFont="1" applyBorder="1" applyAlignment="1">
      <alignment horizontal="left" vertical="center"/>
    </xf>
    <xf numFmtId="3" fontId="18" fillId="4" borderId="4" xfId="4" applyNumberFormat="1" applyFont="1" applyBorder="1" applyAlignment="1">
      <alignment horizontal="left" vertical="center"/>
    </xf>
    <xf numFmtId="0" fontId="0" fillId="0" borderId="4" xfId="0" applyBorder="1" applyAlignment="1">
      <alignment vertical="center"/>
    </xf>
    <xf numFmtId="3" fontId="0" fillId="0" borderId="4" xfId="0" applyNumberFormat="1" applyBorder="1" applyAlignment="1">
      <alignment vertical="center"/>
    </xf>
    <xf numFmtId="10" fontId="0" fillId="0" borderId="4" xfId="2" applyNumberFormat="1" applyFont="1" applyBorder="1" applyAlignment="1">
      <alignment horizontal="center" vertical="center"/>
    </xf>
    <xf numFmtId="164" fontId="0" fillId="0" borderId="4" xfId="0" applyNumberFormat="1" applyBorder="1" applyAlignment="1">
      <alignment vertical="center"/>
    </xf>
    <xf numFmtId="10" fontId="18" fillId="4" borderId="4" xfId="4" applyNumberFormat="1" applyFont="1" applyBorder="1" applyAlignment="1">
      <alignment horizontal="left" vertical="center"/>
    </xf>
    <xf numFmtId="10" fontId="0" fillId="7" borderId="4" xfId="2" applyNumberFormat="1" applyFont="1" applyFill="1" applyBorder="1" applyAlignment="1">
      <alignment horizontal="center" vertical="center"/>
    </xf>
    <xf numFmtId="164" fontId="18" fillId="4" borderId="4" xfId="4" applyNumberFormat="1" applyFont="1" applyBorder="1" applyAlignment="1">
      <alignment horizontal="left" vertical="center"/>
    </xf>
    <xf numFmtId="0" fontId="21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164" fontId="20" fillId="0" borderId="4" xfId="0" applyNumberFormat="1" applyFont="1" applyBorder="1" applyAlignment="1">
      <alignment vertical="center"/>
    </xf>
    <xf numFmtId="0" fontId="15" fillId="9" borderId="4" xfId="0" applyFont="1" applyFill="1" applyBorder="1" applyAlignment="1">
      <alignment horizontal="center" vertical="center"/>
    </xf>
    <xf numFmtId="0" fontId="25" fillId="5" borderId="4" xfId="0" applyFont="1" applyFill="1" applyBorder="1" applyAlignment="1">
      <alignment horizontal="center" vertical="center"/>
    </xf>
    <xf numFmtId="0" fontId="25" fillId="5" borderId="4" xfId="0" applyFont="1" applyFill="1" applyBorder="1" applyAlignment="1">
      <alignment vertical="center"/>
    </xf>
    <xf numFmtId="0" fontId="26" fillId="4" borderId="4" xfId="4" applyFont="1" applyBorder="1" applyAlignment="1">
      <alignment horizontal="left" vertical="center"/>
    </xf>
    <xf numFmtId="3" fontId="0" fillId="0" borderId="0" xfId="0" applyNumberFormat="1" applyAlignment="1">
      <alignment horizontal="center"/>
    </xf>
    <xf numFmtId="0" fontId="27" fillId="0" borderId="0" xfId="0" applyFont="1" applyAlignment="1">
      <alignment horizontal="right" vertical="center"/>
    </xf>
    <xf numFmtId="164" fontId="16" fillId="2" borderId="0" xfId="1" applyNumberFormat="1" applyFont="1" applyAlignment="1">
      <alignment horizontal="center" vertical="center"/>
    </xf>
    <xf numFmtId="0" fontId="22" fillId="0" borderId="0" xfId="0" applyFont="1" applyAlignment="1">
      <alignment vertical="center"/>
    </xf>
    <xf numFmtId="0" fontId="0" fillId="10" borderId="4" xfId="0" applyFill="1" applyBorder="1" applyAlignment="1">
      <alignment vertical="center"/>
    </xf>
    <xf numFmtId="10" fontId="0" fillId="10" borderId="4" xfId="2" applyNumberFormat="1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0" fillId="0" borderId="0" xfId="0" applyNumberFormat="1"/>
    <xf numFmtId="0" fontId="0" fillId="0" borderId="0" xfId="0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0" fontId="0" fillId="0" borderId="4" xfId="0" applyFont="1" applyBorder="1" applyAlignment="1">
      <alignment horizontal="left" vertical="center"/>
    </xf>
    <xf numFmtId="0" fontId="0" fillId="0" borderId="4" xfId="0" applyNumberFormat="1" applyFont="1" applyBorder="1" applyAlignment="1">
      <alignment horizontal="left" vertical="center"/>
    </xf>
    <xf numFmtId="10" fontId="0" fillId="0" borderId="4" xfId="0" applyNumberFormat="1" applyFont="1" applyBorder="1" applyAlignment="1">
      <alignment horizontal="left" vertical="center"/>
    </xf>
    <xf numFmtId="3" fontId="0" fillId="0" borderId="4" xfId="0" applyNumberFormat="1" applyFont="1" applyBorder="1" applyAlignment="1">
      <alignment horizontal="left" vertical="center"/>
    </xf>
    <xf numFmtId="164" fontId="0" fillId="0" borderId="4" xfId="0" applyNumberFormat="1" applyFont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30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164" fontId="0" fillId="0" borderId="0" xfId="0" applyNumberFormat="1" applyAlignment="1">
      <alignment horizontal="center"/>
    </xf>
    <xf numFmtId="7" fontId="0" fillId="0" borderId="0" xfId="0" applyNumberFormat="1" applyAlignment="1">
      <alignment horizontal="center"/>
    </xf>
    <xf numFmtId="0" fontId="5" fillId="5" borderId="0" xfId="0" applyFont="1" applyFill="1" applyAlignment="1">
      <alignment horizontal="center"/>
    </xf>
    <xf numFmtId="7" fontId="5" fillId="5" borderId="0" xfId="0" applyNumberFormat="1" applyFont="1" applyFill="1" applyAlignment="1">
      <alignment horizontal="center"/>
    </xf>
    <xf numFmtId="164" fontId="5" fillId="5" borderId="0" xfId="0" applyNumberFormat="1" applyFont="1" applyFill="1" applyAlignment="1">
      <alignment horizontal="center"/>
    </xf>
    <xf numFmtId="164" fontId="20" fillId="0" borderId="3" xfId="0" applyNumberFormat="1" applyFont="1" applyBorder="1"/>
    <xf numFmtId="164" fontId="20" fillId="0" borderId="3" xfId="0" applyNumberFormat="1" applyFont="1" applyBorder="1" applyAlignment="1">
      <alignment horizontal="center"/>
    </xf>
    <xf numFmtId="164" fontId="20" fillId="5" borderId="3" xfId="0" applyNumberFormat="1" applyFont="1" applyFill="1" applyBorder="1" applyAlignment="1">
      <alignment horizontal="center"/>
    </xf>
    <xf numFmtId="0" fontId="32" fillId="0" borderId="0" xfId="0" applyFont="1"/>
    <xf numFmtId="0" fontId="22" fillId="0" borderId="4" xfId="0" applyFont="1" applyBorder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0" fillId="0" borderId="0" xfId="0" applyFont="1" applyAlignment="1">
      <alignment horizontal="left" vertical="center"/>
    </xf>
  </cellXfs>
  <cellStyles count="5">
    <cellStyle name="Bom" xfId="1" builtinId="26"/>
    <cellStyle name="Cálculo" xfId="4" builtinId="22"/>
    <cellStyle name="Entrada" xfId="3" builtinId="20"/>
    <cellStyle name="Normal" xfId="0" builtinId="0"/>
    <cellStyle name="Porcentagem" xfId="2" builtinId="5"/>
  </cellStyles>
  <dxfs count="551"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numFmt numFmtId="14" formatCode="0.00%"/>
      <alignment vertical="center" textRotation="0" wrapText="0" indent="0" justifyLastLine="0" shrinkToFit="0" readingOrder="0"/>
    </dxf>
    <dxf>
      <numFmt numFmtId="14" formatCode="0.00%"/>
      <alignment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" formatCode="0"/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numFmt numFmtId="164" formatCode="&quot;R$&quot;\ #,##0.0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numFmt numFmtId="3" formatCode="#,##0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numFmt numFmtId="13" formatCode="0%"/>
      <alignment horizontal="center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34998626667073579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rgb="FF0070C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499984740745262"/>
      </font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499984740745262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499984740745262"/>
      </font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499984740745262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499984740745262"/>
      </font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499984740745262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</font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fill>
        <patternFill patternType="lightUp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lightUp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b val="0"/>
        <i/>
        <color theme="0" tint="-0.24994659260841701"/>
      </font>
    </dxf>
    <dxf>
      <font>
        <color theme="0" tint="-0.24994659260841701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theme="0" tint="-4.9989318521683403E-2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vertical="center" textRotation="0" wrapText="0" indent="0" justifyLastLine="0" shrinkToFit="0" readingOrder="0"/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b val="0"/>
        <i/>
        <color theme="0" tint="-0.24994659260841701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0" tint="-4.9989318521683403E-2"/>
        </patternFill>
      </fill>
    </dxf>
    <dxf>
      <font>
        <b/>
      </font>
    </dxf>
    <dxf>
      <alignment horizontal="center"/>
    </dxf>
    <dxf>
      <font>
        <sz val="9"/>
      </font>
    </dxf>
    <dxf>
      <alignment horizontal="center"/>
    </dxf>
    <dxf>
      <font>
        <b/>
      </font>
    </dxf>
    <dxf>
      <fill>
        <patternFill patternType="solid">
          <bgColor theme="0" tint="-4.9989318521683403E-2"/>
        </patternFill>
      </fill>
    </dxf>
    <dxf>
      <alignment horizontal="center"/>
    </dxf>
    <dxf>
      <font>
        <sz val="9"/>
      </font>
    </dxf>
    <dxf>
      <numFmt numFmtId="11" formatCode="&quot;R$&quot;\ #,##0.00;\-&quot;R$&quot;\ #,##0.00"/>
    </dxf>
    <dxf>
      <alignment horizontal="center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4.xml"/><Relationship Id="rId21" Type="http://schemas.openxmlformats.org/officeDocument/2006/relationships/worksheet" Target="worksheets/sheet21.xml"/><Relationship Id="rId42" Type="http://schemas.openxmlformats.org/officeDocument/2006/relationships/customXml" Target="../customXml/item7.xml"/><Relationship Id="rId47" Type="http://schemas.openxmlformats.org/officeDocument/2006/relationships/customXml" Target="../customXml/item12.xml"/><Relationship Id="rId63" Type="http://schemas.openxmlformats.org/officeDocument/2006/relationships/customXml" Target="../customXml/item28.xml"/><Relationship Id="rId68" Type="http://schemas.openxmlformats.org/officeDocument/2006/relationships/customXml" Target="../customXml/item33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theme" Target="theme/theme1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2.xml"/><Relationship Id="rId40" Type="http://schemas.openxmlformats.org/officeDocument/2006/relationships/customXml" Target="../customXml/item5.xml"/><Relationship Id="rId45" Type="http://schemas.openxmlformats.org/officeDocument/2006/relationships/customXml" Target="../customXml/item10.xml"/><Relationship Id="rId53" Type="http://schemas.openxmlformats.org/officeDocument/2006/relationships/customXml" Target="../customXml/item18.xml"/><Relationship Id="rId58" Type="http://schemas.openxmlformats.org/officeDocument/2006/relationships/customXml" Target="../customXml/item23.xml"/><Relationship Id="rId66" Type="http://schemas.openxmlformats.org/officeDocument/2006/relationships/customXml" Target="../customXml/item3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6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5.xml"/><Relationship Id="rId30" Type="http://schemas.openxmlformats.org/officeDocument/2006/relationships/connections" Target="connections.xml"/><Relationship Id="rId35" Type="http://schemas.openxmlformats.org/officeDocument/2006/relationships/calcChain" Target="calcChain.xml"/><Relationship Id="rId43" Type="http://schemas.openxmlformats.org/officeDocument/2006/relationships/customXml" Target="../customXml/item8.xml"/><Relationship Id="rId48" Type="http://schemas.openxmlformats.org/officeDocument/2006/relationships/customXml" Target="../customXml/item13.xml"/><Relationship Id="rId56" Type="http://schemas.openxmlformats.org/officeDocument/2006/relationships/customXml" Target="../customXml/item21.xml"/><Relationship Id="rId64" Type="http://schemas.openxmlformats.org/officeDocument/2006/relationships/customXml" Target="../customXml/item29.xml"/><Relationship Id="rId69" Type="http://schemas.openxmlformats.org/officeDocument/2006/relationships/customXml" Target="../customXml/item34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6.xml"/><Relationship Id="rId72" Type="http://schemas.openxmlformats.org/officeDocument/2006/relationships/customXml" Target="../customXml/item3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3.xml"/><Relationship Id="rId33" Type="http://schemas.openxmlformats.org/officeDocument/2006/relationships/sheetMetadata" Target="metadata.xml"/><Relationship Id="rId38" Type="http://schemas.openxmlformats.org/officeDocument/2006/relationships/customXml" Target="../customXml/item3.xml"/><Relationship Id="rId46" Type="http://schemas.openxmlformats.org/officeDocument/2006/relationships/customXml" Target="../customXml/item11.xml"/><Relationship Id="rId59" Type="http://schemas.openxmlformats.org/officeDocument/2006/relationships/customXml" Target="../customXml/item24.xml"/><Relationship Id="rId67" Type="http://schemas.openxmlformats.org/officeDocument/2006/relationships/customXml" Target="../customXml/item32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6.xml"/><Relationship Id="rId54" Type="http://schemas.openxmlformats.org/officeDocument/2006/relationships/customXml" Target="../customXml/item19.xml"/><Relationship Id="rId62" Type="http://schemas.openxmlformats.org/officeDocument/2006/relationships/customXml" Target="../customXml/item27.xml"/><Relationship Id="rId70" Type="http://schemas.openxmlformats.org/officeDocument/2006/relationships/customXml" Target="../customXml/item3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pivotCacheDefinition" Target="pivotCache/pivotCacheDefinition6.xml"/><Relationship Id="rId36" Type="http://schemas.openxmlformats.org/officeDocument/2006/relationships/customXml" Target="../customXml/item1.xml"/><Relationship Id="rId49" Type="http://schemas.openxmlformats.org/officeDocument/2006/relationships/customXml" Target="../customXml/item14.xml"/><Relationship Id="rId57" Type="http://schemas.openxmlformats.org/officeDocument/2006/relationships/customXml" Target="../customXml/item22.xml"/><Relationship Id="rId10" Type="http://schemas.openxmlformats.org/officeDocument/2006/relationships/worksheet" Target="worksheets/sheet10.xml"/><Relationship Id="rId31" Type="http://schemas.openxmlformats.org/officeDocument/2006/relationships/styles" Target="styles.xml"/><Relationship Id="rId44" Type="http://schemas.openxmlformats.org/officeDocument/2006/relationships/customXml" Target="../customXml/item9.xml"/><Relationship Id="rId52" Type="http://schemas.openxmlformats.org/officeDocument/2006/relationships/customXml" Target="../customXml/item17.xml"/><Relationship Id="rId60" Type="http://schemas.openxmlformats.org/officeDocument/2006/relationships/customXml" Target="../customXml/item25.xml"/><Relationship Id="rId65" Type="http://schemas.openxmlformats.org/officeDocument/2006/relationships/customXml" Target="../customXml/item3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customXml" Target="../customXml/item4.xml"/><Relationship Id="rId34" Type="http://schemas.openxmlformats.org/officeDocument/2006/relationships/powerPivotData" Target="model/item.data"/><Relationship Id="rId50" Type="http://schemas.openxmlformats.org/officeDocument/2006/relationships/customXml" Target="../customXml/item15.xml"/><Relationship Id="rId55" Type="http://schemas.openxmlformats.org/officeDocument/2006/relationships/customXml" Target="../customXml/item20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aldomiro Barbosa" refreshedDate="44061.43334236111" backgroundQuery="1" createdVersion="6" refreshedVersion="6" minRefreshableVersion="3" recordCount="0" supportSubquery="1" supportAdvancedDrill="1" xr:uid="{564864D0-F637-443D-8F82-C719F8AA37A3}">
  <cacheSource type="external" connectionId="40"/>
  <cacheFields count="10">
    <cacheField name="[Datas].[AnoMes-Fiscal].[AnoMes-Fiscal]" caption="AnoMes-Fiscal" numFmtId="0" hierarchy="30" level="1">
      <sharedItems containsSemiMixedTypes="0" containsNonDate="0" containsString="0"/>
    </cacheField>
    <cacheField name="[Produtos-Linhas].[Linha].[Linha]" caption="Linha" numFmtId="0" hierarchy="94" level="1">
      <sharedItems count="3">
        <s v="BERINERT"/>
        <s v="HIZENTRA"/>
        <s v="PRIVIGEN"/>
      </sharedItems>
    </cacheField>
    <cacheField name="[Estabelecimentos].[Estabelecimento-CNPJ].[Estabelecimento-CNPJ]" caption="Estabelecimento-CNPJ" numFmtId="0" hierarchy="63" level="1">
      <sharedItems count="29">
        <s v="ALBERT SABIN HOSPITAL E MATERNIDADE - ATIBAIA-SP (04.275.687/0001-29)"/>
        <s v="ALERGO LOGICA DIAGNOSTICO EM ALERGIA LTDA ME - CAMPINAS-SP (10.447.300/0001-77)"/>
        <s v="CENTRO DE REFERENCIA DA SAUDE DA MULHER - MATER - RIBEIRÃO PRETO-SP (57.722.118/0003-02)"/>
        <s v="ESHO - HOSPITAL GERAL E MATERNIDADE MADRE MARIA THEODORA - CAMPINAS-SP (29.435.005/0084-56)"/>
        <s v="FAEPA - RIBEIRÃO PRETO-SP (57.722.118/0001-40)"/>
        <s v="FUNDACAO CENTRO MEDICO DE CAMPINAS - CAMPINAS-SP (44.595.700/0001-41)"/>
        <s v="HOME CARE CENE - SÃO JOSÉ DO RIO PRETO-SP (02.643.405/0001-73)"/>
        <s v="HOSPITAL DE BASE - SÃO JOSÉ DO RIO PRETO-SP (60.003.761/0001-29)"/>
        <s v="HOSPITAL DR ARISTOTELES OLIVEIRA MARTINS - PRESIDENTE PRUDENTE-SP (55.344.337/0001-08)"/>
        <s v="HOSPITAL E MATERNIDADE CELSO PIERRO - CAMPINAS-SP (46.020.301/0002-69)"/>
        <s v="HOSPITAL E MATERNIDADE UNIMED - RIO CLARO-SP (44.663.631/0005-90)"/>
        <s v="HOSPITAL MUNICIPAL DR MARIO GATTI - CAMPINAS-SP (47.018.676/0001-76)"/>
        <s v="HOSPITAL PADRE ALBINO - CATANDUVA-SP (47.074.851/0008-19)"/>
        <s v="HOSPITAL SAO JOAQUIM - FRANCA-SP (50.486.026/0001-60)"/>
        <s v="HOSPITAL UNIMED DE ARACATUBA - ARAÇATUBA-SP (51.093.193/0004-56)"/>
        <s v="HOSPITAL UNIMED LIMEIRA - LIMEIRA-SP (50.480.953/0002-53)"/>
        <s v="HOSPITAL UNIMED SAO CARLOS - SÃO CARLOS-SP (45.359.213/0005-76)"/>
        <s v="HOSPITAL UNIVERSITARIO SAO FRANCISCO NA PROV. DE DEUS - BRAGANÇA PAULISTA-SP (53.221.255/0051-00)"/>
        <s v="HOSPITAL VERA CRUZ S A - CAMPINAS-SP (46.009.718/0001-40)"/>
        <s v="PREFEITURA MUNICIPAL DE CAMPINAS - CAMPINAS-SP (51.885.242/0001-40)"/>
        <s v="SAUDE HOME CARE - CAMPINAS-SP (06.959.943/0001-22)"/>
        <s v="SOBAM CENTRO MEDICO HOSPITALAR LTDA - JUNDIAÍ-SP (50.739.135/0017-09)"/>
        <s v="UNIMED CAMPINAS - CAMPINAS-SP (46.124.624/0001-11)"/>
        <s v="UNIMED CAMPINAS - CAMPINAS-SP (46.124.624/0026-70)"/>
        <s v="UNIMED CATANDUVA - HOSPITAL SAO DOMINGOS - CATANDUVA-SP (45.118.429/0012-79)"/>
        <s v="UNIMED DE BOTUCATU HOSPITAL - BOTUCATU-SP (45.425.899/0004-75)"/>
        <s v="UNIMED DE RIBEIRAO PRETO COOPERATIVA DE TRABALHO MEDICO - RIBEIRÃO PRETO-SP (45.232.246/0005-50)"/>
        <s v="UNIMED SANTA BARBARA DOESTE AMERICANA UNIMED - AMERICANA-SP (48.628.366/0007-21)"/>
        <s v="UNIMED SOROCABA - SOROCABA-SP (45.399.961/0002-30)"/>
      </sharedItems>
    </cacheField>
    <cacheField name="[Measures].[Soma de Demanda-IV 2]" caption="Soma de Demanda-IV 2" numFmtId="0" hierarchy="249" level="32767"/>
    <cacheField name="[Demanda].[@-Ministerio].[@-Ministerio]" caption="@-Ministerio" numFmtId="0" hierarchy="37" level="1">
      <sharedItems containsSemiMixedTypes="0" containsNonDate="0" containsString="0"/>
    </cacheField>
    <cacheField name="[Demanda].[@-Distribuidor].[@-Distribuidor]" caption="@-Distribuidor" numFmtId="0" hierarchy="38" level="1">
      <sharedItems containsSemiMixedTypes="0" containsNonDate="0" containsString="0"/>
    </cacheField>
    <cacheField name="[Demanda].[@-IV-Demanda].[@-IV-Demanda]" caption="@-IV-Demanda" numFmtId="0" hierarchy="39" level="1">
      <sharedItems containsSemiMixedTypes="0" containsNonDate="0" containsString="0"/>
    </cacheField>
    <cacheField name="[Representantes-ESP].[#PK-Email-Representante-ESP].[#PK-Email-Representante-ESP]" caption="#PK-Email-Representante-ESP" numFmtId="0" hierarchy="118" level="1">
      <sharedItems containsSemiMixedTypes="0" containsNonDate="0" containsString="0"/>
    </cacheField>
    <cacheField name="[Representantes-ESP].[@-Calculo-IV].[@-Calculo-IV]" caption="@-Calculo-IV" numFmtId="0" hierarchy="123" level="1">
      <sharedItems containsSemiMixedTypes="0" containsNonDate="0" containsString="0"/>
    </cacheField>
    <cacheField name="[Produtos-Linhas].[@-ESP].[@-ESP]" caption="@-ESP" numFmtId="0" hierarchy="99" level="1">
      <sharedItems containsSemiMixedTypes="0" containsNonDate="0" containsString="0"/>
    </cacheField>
  </cacheFields>
  <cacheHierarchies count="250">
    <cacheHierarchy uniqueName="[Cota-Demanda].[#FK-AnoMes-Unv]" caption="#FK-AnoMes-Unv" attribute="1" defaultMemberUniqueName="[Cota-Demanda].[#FK-AnoMes-Unv].[All]" allUniqueName="[Cota-Demanda].[#FK-AnoMes-Unv].[All]" dimensionUniqueName="[Cota-Demanda]" displayFolder="" count="0" memberValueDatatype="5" unbalanced="0"/>
    <cacheHierarchy uniqueName="[Cota-Demanda].[#FK-Cod-Linha]" caption="#FK-Cod-Linha" attribute="1" defaultMemberUniqueName="[Cota-Demanda].[#FK-Cod-Linha].[All]" allUniqueName="[Cota-Demanda].[#FK-Cod-Linha].[All]" dimensionUniqueName="[Cota-Demanda]" displayFolder="" count="0" memberValueDatatype="5" unbalanced="0"/>
    <cacheHierarchy uniqueName="[Cota-Demanda].[#FK-Email-Gerente]" caption="#FK-Email-Gerente" attribute="1" defaultMemberUniqueName="[Cota-Demanda].[#FK-Email-Gerente].[All]" allUniqueName="[Cota-Demanda].[#FK-Email-Gerente].[All]" dimensionUniqueName="[Cota-Demanda]" displayFolder="" count="0" memberValueDatatype="130" unbalanced="0"/>
    <cacheHierarchy uniqueName="[Cota-Demanda].[#FK-Email-Representante]" caption="#FK-Email-Representante" attribute="1" defaultMemberUniqueName="[Cota-Demanda].[#FK-Email-Representante].[All]" allUniqueName="[Cota-Demanda].[#FK-Email-Representante].[All]" dimensionUniqueName="[Cota-Demanda]" displayFolder="" count="0" memberValueDatatype="130" unbalanced="0"/>
    <cacheHierarchy uniqueName="[Cota-Demanda].[#FK-Email-Representante_ESP]" caption="#FK-Email-Representante_ESP" attribute="1" defaultMemberUniqueName="[Cota-Demanda].[#FK-Email-Representante_ESP].[All]" allUniqueName="[Cota-Demanda].[#FK-Email-Representante_ESP].[All]" dimensionUniqueName="[Cota-Demanda]" displayFolder="" count="0" memberValueDatatype="130" unbalanced="0"/>
    <cacheHierarchy uniqueName="[Cota-Demanda].[#FK-Email-Representante_HSP]" caption="#FK-Email-Representante_HSP" attribute="1" defaultMemberUniqueName="[Cota-Demanda].[#FK-Email-Representante_HSP].[All]" allUniqueName="[Cota-Demanda].[#FK-Email-Representante_HSP].[All]" dimensionUniqueName="[Cota-Demanda]" displayFolder="" count="0" memberValueDatatype="130" unbalanced="0"/>
    <cacheHierarchy uniqueName="[Cota-Demanda].[#FK-Email-Representante_EMH]" caption="#FK-Email-Representante_EMH" attribute="1" defaultMemberUniqueName="[Cota-Demanda].[#FK-Email-Representante_EMH].[All]" allUniqueName="[Cota-Demanda].[#FK-Email-Representante_EMH].[All]" dimensionUniqueName="[Cota-Demanda]" displayFolder="" count="0" memberValueDatatype="130" unbalanced="0"/>
    <cacheHierarchy uniqueName="[Cota-Demanda].[@-ESP]" caption="@-ESP" attribute="1" defaultMemberUniqueName="[Cota-Demanda].[@-ESP].[All]" allUniqueName="[Cota-Demanda].[@-ESP].[All]" dimensionUniqueName="[Cota-Demanda]" displayFolder="" count="0" memberValueDatatype="11" unbalanced="0"/>
    <cacheHierarchy uniqueName="[Cota-Demanda].[@-HSP]" caption="@-HSP" attribute="1" defaultMemberUniqueName="[Cota-Demanda].[@-HSP].[All]" allUniqueName="[Cota-Demanda].[@-HSP].[All]" dimensionUniqueName="[Cota-Demanda]" displayFolder="" count="0" memberValueDatatype="11" unbalanced="0"/>
    <cacheHierarchy uniqueName="[Cota-Demanda].[@-EMH]" caption="@-EMH" attribute="1" defaultMemberUniqueName="[Cota-Demanda].[@-EMH].[All]" allUniqueName="[Cota-Demanda].[@-EMH].[All]" dimensionUniqueName="[Cota-Demanda]" displayFolder="" count="0" memberValueDatatype="11" unbalanced="0"/>
    <cacheHierarchy uniqueName="[Cota-Demanda].[@-Garantido]" caption="@-Garantido" attribute="1" defaultMemberUniqueName="[Cota-Demanda].[@-Garantido].[All]" allUniqueName="[Cota-Demanda].[@-Garantido].[All]" dimensionUniqueName="[Cota-Demanda]" displayFolder="" count="0" memberValueDatatype="11" unbalanced="0"/>
    <cacheHierarchy uniqueName="[Cota-Demanda].[@-IV-Demanda]" caption="@-IV-Demanda" attribute="1" defaultMemberUniqueName="[Cota-Demanda].[@-IV-Demanda].[All]" allUniqueName="[Cota-Demanda].[@-IV-Demanda].[All]" dimensionUniqueName="[Cota-Demanda]" displayFolder="" count="0" memberValueDatatype="11" unbalanced="0"/>
    <cacheHierarchy uniqueName="[Cota-Demanda].[Cota-Representante]" caption="Cota-Representante" attribute="1" defaultMemberUniqueName="[Cota-Demanda].[Cota-Representante].[All]" allUniqueName="[Cota-Demanda].[Cota-Representante].[All]" dimensionUniqueName="[Cota-Demanda]" displayFolder="" count="0" memberValueDatatype="5" unbalanced="0"/>
    <cacheHierarchy uniqueName="[Cota-Demanda].[Cota-Gerente]" caption="Cota-Gerente" attribute="1" defaultMemberUniqueName="[Cota-Demanda].[Cota-Gerente].[All]" allUniqueName="[Cota-Demanda].[Cota-Gerente].[All]" dimensionUniqueName="[Cota-Demanda]" displayFolder="" count="0" memberValueDatatype="5" unbalanced="0"/>
    <cacheHierarchy uniqueName="[Cota-Venda].[#FK-AnoMes-Unv]" caption="#FK-AnoMes-Unv" attribute="1" defaultMemberUniqueName="[Cota-Venda].[#FK-AnoMes-Unv].[All]" allUniqueName="[Cota-Venda].[#FK-AnoMes-Unv].[All]" dimensionUniqueName="[Cota-Venda]" displayFolder="" count="0" memberValueDatatype="5" unbalanced="0"/>
    <cacheHierarchy uniqueName="[Cota-Venda].[#FK-Cod-Linha]" caption="#FK-Cod-Linha" attribute="1" defaultMemberUniqueName="[Cota-Venda].[#FK-Cod-Linha].[All]" allUniqueName="[Cota-Venda].[#FK-Cod-Linha].[All]" dimensionUniqueName="[Cota-Venda]" displayFolder="" count="0" memberValueDatatype="5" unbalanced="0"/>
    <cacheHierarchy uniqueName="[Cota-Venda].[#FK-Cod-Produto]" caption="#FK-Cod-Produto" attribute="1" defaultMemberUniqueName="[Cota-Venda].[#FK-Cod-Produto].[All]" allUniqueName="[Cota-Venda].[#FK-Cod-Produto].[All]" dimensionUniqueName="[Cota-Venda]" displayFolder="" count="0" memberValueDatatype="130" unbalanced="0"/>
    <cacheHierarchy uniqueName="[Cota-Venda].[#FK-Email-Gerente]" caption="#FK-Email-Gerente" attribute="1" defaultMemberUniqueName="[Cota-Venda].[#FK-Email-Gerente].[All]" allUniqueName="[Cota-Venda].[#FK-Email-Gerente].[All]" dimensionUniqueName="[Cota-Venda]" displayFolder="" count="0" memberValueDatatype="130" unbalanced="0"/>
    <cacheHierarchy uniqueName="[Cota-Venda].[#FK-Email-Representante]" caption="#FK-Email-Representante" attribute="1" defaultMemberUniqueName="[Cota-Venda].[#FK-Email-Representante].[All]" allUniqueName="[Cota-Venda].[#FK-Email-Representante].[All]" dimensionUniqueName="[Cota-Venda]" displayFolder="" count="0" memberValueDatatype="130" unbalanced="0"/>
    <cacheHierarchy uniqueName="[Cota-Venda].[@-Garantido]" caption="@-Garantido" attribute="1" defaultMemberUniqueName="[Cota-Venda].[@-Garantido].[All]" allUniqueName="[Cota-Venda].[@-Garantido].[All]" dimensionUniqueName="[Cota-Venda]" displayFolder="" count="0" memberValueDatatype="11" unbalanced="0"/>
    <cacheHierarchy uniqueName="[Cota-Venda].[@-IV-Venda]" caption="@-IV-Venda" attribute="1" defaultMemberUniqueName="[Cota-Venda].[@-IV-Venda].[All]" allUniqueName="[Cota-Venda].[@-IV-Venda].[All]" dimensionUniqueName="[Cota-Venda]" displayFolder="" count="0" memberValueDatatype="11" unbalanced="0"/>
    <cacheHierarchy uniqueName="[Cota-Venda].[Cota-Venda]" caption="Cota-Venda" attribute="1" defaultMemberUniqueName="[Cota-Venda].[Cota-Venda].[All]" allUniqueName="[Cota-Venda].[Cota-Venda].[All]" dimensionUniqueName="[Cota-Venda]" displayFolder="" count="0" memberValueDatatype="5" unbalanced="0"/>
    <cacheHierarchy uniqueName="[Datas].[#PK-AnoMes-Unv]" caption="#PK-AnoMes-Unv" attribute="1" defaultMemberUniqueName="[Datas].[#PK-AnoMes-Unv].[All]" allUniqueName="[Datas].[#PK-AnoMes-Unv].[All]" dimensionUniqueName="[Datas]" displayFolder="" count="0" memberValueDatatype="5" unbalanced="0"/>
    <cacheHierarchy uniqueName="[Datas].[#Idx-Ano-Unv]" caption="#Idx-Ano-Unv" attribute="1" defaultMemberUniqueName="[Datas].[#Idx-Ano-Unv].[All]" allUniqueName="[Datas].[#Idx-Ano-Unv].[All]" dimensionUniqueName="[Datas]" displayFolder="" count="0" memberValueDatatype="20" unbalanced="0"/>
    <cacheHierarchy uniqueName="[Datas].[#Idx-Mes-Unv]" caption="#Idx-Mes-Unv" attribute="1" defaultMemberUniqueName="[Datas].[#Idx-Mes-Unv].[All]" allUniqueName="[Datas].[#Idx-Mes-Unv].[All]" dimensionUniqueName="[Datas]" displayFolder="" count="0" memberValueDatatype="20" unbalanced="0"/>
    <cacheHierarchy uniqueName="[Datas].[#Idx-Ano-Fiscal]" caption="#Idx-Ano-Fiscal" attribute="1" defaultMemberUniqueName="[Datas].[#Idx-Ano-Fiscal].[All]" allUniqueName="[Datas].[#Idx-Ano-Fiscal].[All]" dimensionUniqueName="[Datas]" displayFolder="" count="0" memberValueDatatype="5" unbalanced="0"/>
    <cacheHierarchy uniqueName="[Datas].[#Idx-Tri-Fiscal]" caption="#Idx-Tri-Fiscal" attribute="1" defaultMemberUniqueName="[Datas].[#Idx-Tri-Fiscal].[All]" allUniqueName="[Datas].[#Idx-Tri-Fiscal].[All]" dimensionUniqueName="[Datas]" displayFolder="" count="0" memberValueDatatype="5" unbalanced="0"/>
    <cacheHierarchy uniqueName="[Datas].[#Idx-Mes-Fiscal]" caption="#Idx-Mes-Fiscal" attribute="1" defaultMemberUniqueName="[Datas].[#Idx-Mes-Fiscal].[All]" allUniqueName="[Datas].[#Idx-Mes-Fiscal].[All]" dimensionUniqueName="[Datas]" displayFolder="" count="0" memberValueDatatype="5" unbalanced="0"/>
    <cacheHierarchy uniqueName="[Datas].[Ano-Fiscal]" caption="Ano-Fiscal" attribute="1" defaultMemberUniqueName="[Datas].[Ano-Fiscal].[All]" allUniqueName="[Datas].[Ano-Fiscal].[All]" dimensionUniqueName="[Datas]" displayFolder="" count="0" memberValueDatatype="130" unbalanced="0"/>
    <cacheHierarchy uniqueName="[Datas].[Tri-Fiscal]" caption="Tri-Fiscal" attribute="1" defaultMemberUniqueName="[Datas].[Tri-Fiscal].[All]" allUniqueName="[Datas].[Tri-Fiscal].[All]" dimensionUniqueName="[Datas]" displayFolder="" count="0" memberValueDatatype="130" unbalanced="0"/>
    <cacheHierarchy uniqueName="[Datas].[AnoMes-Fiscal]" caption="AnoMes-Fiscal" attribute="1" defaultMemberUniqueName="[Datas].[AnoMes-Fiscal].[All]" allUniqueName="[Datas].[AnoMes-Fiscal].[All]" dimensionUniqueName="[Datas]" displayFolder="" count="2" memberValueDatatype="130" unbalanced="0">
      <fieldsUsage count="2">
        <fieldUsage x="-1"/>
        <fieldUsage x="0"/>
      </fieldsUsage>
    </cacheHierarchy>
    <cacheHierarchy uniqueName="[Datas].[Mes-Fiscal]" caption="Mes-Fiscal" attribute="1" defaultMemberUniqueName="[Datas].[Mes-Fiscal].[All]" allUniqueName="[Datas].[Mes-Fiscal].[All]" dimensionUniqueName="[Datas]" displayFolder="" count="0" memberValueDatatype="130" unbalanced="0"/>
    <cacheHierarchy uniqueName="[Demanda].[#FK-AnoMes-Unv]" caption="#FK-AnoMes-Unv" attribute="1" defaultMemberUniqueName="[Demanda].[#FK-AnoMes-Unv].[All]" allUniqueName="[Demanda].[#FK-AnoMes-Unv].[All]" dimensionUniqueName="[Demanda]" displayFolder="" count="0" memberValueDatatype="5" unbalanced="0"/>
    <cacheHierarchy uniqueName="[Demanda].[#FK-Cod-Linha]" caption="#FK-Cod-Linha" attribute="1" defaultMemberUniqueName="[Demanda].[#FK-Cod-Linha].[All]" allUniqueName="[Demanda].[#FK-Cod-Linha].[All]" dimensionUniqueName="[Demanda]" displayFolder="" count="0" memberValueDatatype="5" unbalanced="0"/>
    <cacheHierarchy uniqueName="[Demanda].[#FK-Cod-Produto]" caption="#FK-Cod-Produto" attribute="1" defaultMemberUniqueName="[Demanda].[#FK-Cod-Produto].[All]" allUniqueName="[Demanda].[#FK-Cod-Produto].[All]" dimensionUniqueName="[Demanda]" displayFolder="" count="0" memberValueDatatype="130" unbalanced="0"/>
    <cacheHierarchy uniqueName="[Demanda].[#FK-CNPJ-Distribuidor]" caption="#FK-CNPJ-Distribuidor" attribute="1" defaultMemberUniqueName="[Demanda].[#FK-CNPJ-Distribuidor].[All]" allUniqueName="[Demanda].[#FK-CNPJ-Distribuidor].[All]" dimensionUniqueName="[Demanda]" displayFolder="" count="0" memberValueDatatype="5" unbalanced="0"/>
    <cacheHierarchy uniqueName="[Demanda].[#FK-CNPJ-Estabelecimento]" caption="#FK-CNPJ-Estabelecimento" attribute="1" defaultMemberUniqueName="[Demanda].[#FK-CNPJ-Estabelecimento].[All]" allUniqueName="[Demanda].[#FK-CNPJ-Estabelecimento].[All]" dimensionUniqueName="[Demanda]" displayFolder="" count="0" memberValueDatatype="5" unbalanced="0"/>
    <cacheHierarchy uniqueName="[Demanda].[@-Ministerio]" caption="@-Ministerio" attribute="1" defaultMemberUniqueName="[Demanda].[@-Ministerio].[All]" allUniqueName="[Demanda].[@-Ministerio].[All]" dimensionUniqueName="[Demanda]" displayFolder="" count="2" memberValueDatatype="11" unbalanced="0">
      <fieldsUsage count="2">
        <fieldUsage x="-1"/>
        <fieldUsage x="4"/>
      </fieldsUsage>
    </cacheHierarchy>
    <cacheHierarchy uniqueName="[Demanda].[@-Distribuidor]" caption="@-Distribuidor" attribute="1" defaultMemberUniqueName="[Demanda].[@-Distribuidor].[All]" allUniqueName="[Demanda].[@-Distribuidor].[All]" dimensionUniqueName="[Demanda]" displayFolder="" count="2" memberValueDatatype="11" unbalanced="0">
      <fieldsUsage count="2">
        <fieldUsage x="-1"/>
        <fieldUsage x="5"/>
      </fieldsUsage>
    </cacheHierarchy>
    <cacheHierarchy uniqueName="[Demanda].[@-IV-Demanda]" caption="@-IV-Demanda" attribute="1" defaultMemberUniqueName="[Demanda].[@-IV-Demanda].[All]" allUniqueName="[Demanda].[@-IV-Demanda].[All]" dimensionUniqueName="[Demanda]" displayFolder="" count="2" memberValueDatatype="11" unbalanced="0">
      <fieldsUsage count="2">
        <fieldUsage x="-1"/>
        <fieldUsage x="6"/>
      </fieldsUsage>
    </cacheHierarchy>
    <cacheHierarchy uniqueName="[Demanda].[#FK-Email-Gerente]" caption="#FK-Email-Gerente" attribute="1" defaultMemberUniqueName="[Demanda].[#FK-Email-Gerente].[All]" allUniqueName="[Demanda].[#FK-Email-Gerente].[All]" dimensionUniqueName="[Demanda]" displayFolder="" count="0" memberValueDatatype="130" unbalanced="0"/>
    <cacheHierarchy uniqueName="[Demanda].[#FK-Email-Representante-ESP]" caption="#FK-Email-Representante-ESP" attribute="1" defaultMemberUniqueName="[Demanda].[#FK-Email-Representante-ESP].[All]" allUniqueName="[Demanda].[#FK-Email-Representante-ESP].[All]" dimensionUniqueName="[Demanda]" displayFolder="" count="0" memberValueDatatype="130" unbalanced="0"/>
    <cacheHierarchy uniqueName="[Demanda].[#FK-Email-Representante-HSP]" caption="#FK-Email-Representante-HSP" attribute="1" defaultMemberUniqueName="[Demanda].[#FK-Email-Representante-HSP].[All]" allUniqueName="[Demanda].[#FK-Email-Representante-HSP].[All]" dimensionUniqueName="[Demanda]" displayFolder="" count="0" memberValueDatatype="130" unbalanced="0"/>
    <cacheHierarchy uniqueName="[Demanda].[#FK-Email-Representante-EMH]" caption="#FK-Email-Representante-EMH" attribute="1" defaultMemberUniqueName="[Demanda].[#FK-Email-Representante-EMH].[All]" allUniqueName="[Demanda].[#FK-Email-Representante-EMH].[All]" dimensionUniqueName="[Demanda]" displayFolder="" count="0" memberValueDatatype="130" unbalanced="0"/>
    <cacheHierarchy uniqueName="[Demanda].[Demanda-UN]" caption="Demanda-UN" attribute="1" defaultMemberUniqueName="[Demanda].[Demanda-UN].[All]" allUniqueName="[Demanda].[Demanda-UN].[All]" dimensionUniqueName="[Demanda]" displayFolder="" count="0" memberValueDatatype="5" unbalanced="0"/>
    <cacheHierarchy uniqueName="[Demanda].[Demanda-EQ]" caption="Demanda-EQ" attribute="1" defaultMemberUniqueName="[Demanda].[Demanda-EQ].[All]" allUniqueName="[Demanda].[Demanda-EQ].[All]" dimensionUniqueName="[Demanda]" displayFolder="" count="0" memberValueDatatype="5" unbalanced="0"/>
    <cacheHierarchy uniqueName="[Demanda].[Demanda-BRL]" caption="Demanda-BRL" attribute="1" defaultMemberUniqueName="[Demanda].[Demanda-BRL].[All]" allUniqueName="[Demanda].[Demanda-BRL].[All]" dimensionUniqueName="[Demanda]" displayFolder="" count="0" memberValueDatatype="5" unbalanced="0"/>
    <cacheHierarchy uniqueName="[Demanda].[Demanda-IV]" caption="Demanda-IV" attribute="1" defaultMemberUniqueName="[Demanda].[Demanda-IV].[All]" allUniqueName="[Demanda].[Demanda-IV].[All]" dimensionUniqueName="[Demanda]" displayFolder="" count="0" memberValueDatatype="5" unbalanced="0"/>
    <cacheHierarchy uniqueName="[Demanda-IV-REP].[#FK-AnoMes-Unv]" caption="#FK-AnoMes-Unv" attribute="1" defaultMemberUniqueName="[Demanda-IV-REP].[#FK-AnoMes-Unv].[All]" allUniqueName="[Demanda-IV-REP].[#FK-AnoMes-Unv].[All]" dimensionUniqueName="[Demanda-IV-REP]" displayFolder="" count="0" memberValueDatatype="5" unbalanced="0"/>
    <cacheHierarchy uniqueName="[Demanda-IV-REP].[#FK-Email-Representante]" caption="#FK-Email-Representante" attribute="1" defaultMemberUniqueName="[Demanda-IV-REP].[#FK-Email-Representante].[All]" allUniqueName="[Demanda-IV-REP].[#FK-Email-Representante].[All]" dimensionUniqueName="[Demanda-IV-REP]" displayFolder="" count="0" memberValueDatatype="130" unbalanced="0"/>
    <cacheHierarchy uniqueName="[Demanda-IV-REP].[#FK-Cod-Linha]" caption="#FK-Cod-Linha" attribute="1" defaultMemberUniqueName="[Demanda-IV-REP].[#FK-Cod-Linha].[All]" allUniqueName="[Demanda-IV-REP].[#FK-Cod-Linha].[All]" dimensionUniqueName="[Demanda-IV-REP]" displayFolder="" count="0" memberValueDatatype="5" unbalanced="0"/>
    <cacheHierarchy uniqueName="[Demanda-IV-REP].[@-ESP]" caption="@-ESP" attribute="1" defaultMemberUniqueName="[Demanda-IV-REP].[@-ESP].[All]" allUniqueName="[Demanda-IV-REP].[@-ESP].[All]" dimensionUniqueName="[Demanda-IV-REP]" displayFolder="" count="0" memberValueDatatype="11" unbalanced="0"/>
    <cacheHierarchy uniqueName="[Demanda-IV-REP].[@-HSP]" caption="@-HSP" attribute="1" defaultMemberUniqueName="[Demanda-IV-REP].[@-HSP].[All]" allUniqueName="[Demanda-IV-REP].[@-HSP].[All]" dimensionUniqueName="[Demanda-IV-REP]" displayFolder="" count="0" memberValueDatatype="11" unbalanced="0"/>
    <cacheHierarchy uniqueName="[Demanda-IV-REP].[@-EMH]" caption="@-EMH" attribute="1" defaultMemberUniqueName="[Demanda-IV-REP].[@-EMH].[All]" allUniqueName="[Demanda-IV-REP].[@-EMH].[All]" dimensionUniqueName="[Demanda-IV-REP]" displayFolder="" count="0" memberValueDatatype="11" unbalanced="0"/>
    <cacheHierarchy uniqueName="[Demanda-IV-REP].[Demanda-IV]" caption="Demanda-IV" attribute="1" defaultMemberUniqueName="[Demanda-IV-REP].[Demanda-IV].[All]" allUniqueName="[Demanda-IV-REP].[Demanda-IV].[All]" dimensionUniqueName="[Demanda-IV-REP]" displayFolder="" count="0" memberValueDatatype="5" unbalanced="0"/>
    <cacheHierarchy uniqueName="[Distribuidores].[#PK-CNPJ-Distribuidor]" caption="#PK-CNPJ-Distribuidor" attribute="1" defaultMemberUniqueName="[Distribuidores].[#PK-CNPJ-Distribuidor].[All]" allUniqueName="[Distribuidores].[#PK-CNPJ-Distribuidor].[All]" dimensionUniqueName="[Distribuidores]" displayFolder="" count="0" memberValueDatatype="5" unbalanced="0"/>
    <cacheHierarchy uniqueName="[Distribuidores].[#FK-Id-Grupo-Distribuidor]" caption="#FK-Id-Grupo-Distribuidor" attribute="1" defaultMemberUniqueName="[Distribuidores].[#FK-Id-Grupo-Distribuidor].[All]" allUniqueName="[Distribuidores].[#FK-Id-Grupo-Distribuidor].[All]" dimensionUniqueName="[Distribuidores]" displayFolder="" count="0" memberValueDatatype="5" unbalanced="0"/>
    <cacheHierarchy uniqueName="[Distribuidores].[Distribuidor]" caption="Distribuidor" attribute="1" defaultMemberUniqueName="[Distribuidores].[Distribuidor].[All]" allUniqueName="[Distribuidores].[Distribuidor].[All]" dimensionUniqueName="[Distribuidores]" displayFolder="" count="0" memberValueDatatype="130" unbalanced="0"/>
    <cacheHierarchy uniqueName="[Distribuidores].[Grupo-Distribuidor]" caption="Grupo-Distribuidor" attribute="1" defaultMemberUniqueName="[Distribuidores].[Grupo-Distribuidor].[All]" allUniqueName="[Distribuidores].[Grupo-Distribuidor].[All]" dimensionUniqueName="[Distribuidores]" displayFolder="" count="0" memberValueDatatype="130" unbalanced="0"/>
    <cacheHierarchy uniqueName="[Distribuidores].[@-Ativo-Distribuidor]" caption="@-Ativo-Distribuidor" attribute="1" defaultMemberUniqueName="[Distribuidores].[@-Ativo-Distribuidor].[All]" allUniqueName="[Distribuidores].[@-Ativo-Distribuidor].[All]" dimensionUniqueName="[Distribuidores]" displayFolder="" count="0" memberValueDatatype="11" unbalanced="0"/>
    <cacheHierarchy uniqueName="[Distribuidores].[@-Ativo-Grupo-Distribuidor]" caption="@-Ativo-Grupo-Distribuidor" attribute="1" defaultMemberUniqueName="[Distribuidores].[@-Ativo-Grupo-Distribuidor].[All]" allUniqueName="[Distribuidores].[@-Ativo-Grupo-Distribuidor].[All]" dimensionUniqueName="[Distribuidores]" displayFolder="" count="0" memberValueDatatype="11" unbalanced="0"/>
    <cacheHierarchy uniqueName="[Estabelecimentos].[#PK-CNPJ-Estabelecimento]" caption="#PK-CNPJ-Estabelecimento" attribute="1" defaultMemberUniqueName="[Estabelecimentos].[#PK-CNPJ-Estabelecimento].[All]" allUniqueName="[Estabelecimentos].[#PK-CNPJ-Estabelecimento].[All]" dimensionUniqueName="[Estabelecimentos]" displayFolder="" count="0" memberValueDatatype="5" unbalanced="0"/>
    <cacheHierarchy uniqueName="[Estabelecimentos].[ESTABELECIMENTO]" caption="ESTABELECIMENTO" attribute="1" defaultMemberUniqueName="[Estabelecimentos].[ESTABELECIMENTO].[All]" allUniqueName="[Estabelecimentos].[ESTABELECIMENTO].[All]" dimensionUniqueName="[Estabelecimentos]" displayFolder="" count="0" memberValueDatatype="130" unbalanced="0"/>
    <cacheHierarchy uniqueName="[Estabelecimentos].[Estabelecimento-CNPJ]" caption="Estabelecimento-CNPJ" attribute="1" defaultMemberUniqueName="[Estabelecimentos].[Estabelecimento-CNPJ].[All]" allUniqueName="[Estabelecimentos].[Estabelecimento-CNPJ].[All]" dimensionUniqueName="[Estabelecimentos]" displayFolder="" count="2" memberValueDatatype="130" unbalanced="0">
      <fieldsUsage count="2">
        <fieldUsage x="-1"/>
        <fieldUsage x="2"/>
      </fieldsUsage>
    </cacheHierarchy>
    <cacheHierarchy uniqueName="[Estabelecimentos].[CIDADE]" caption="CIDADE" attribute="1" defaultMemberUniqueName="[Estabelecimentos].[CIDADE].[All]" allUniqueName="[Estabelecimentos].[CIDADE].[All]" dimensionUniqueName="[Estabelecimentos]" displayFolder="" count="0" memberValueDatatype="130" unbalanced="0"/>
    <cacheHierarchy uniqueName="[Estabelecimentos].[UF]" caption="UF" attribute="1" defaultMemberUniqueName="[Estabelecimentos].[UF].[All]" allUniqueName="[Estabelecimentos].[UF].[All]" dimensionUniqueName="[Estabelecimentos]" displayFolder="" count="0" memberValueDatatype="130" unbalanced="0"/>
    <cacheHierarchy uniqueName="[Estabelecimentos].[ESFERA]" caption="ESFERA" attribute="1" defaultMemberUniqueName="[Estabelecimentos].[ESFERA].[All]" allUniqueName="[Estabelecimentos].[ESFERA].[All]" dimensionUniqueName="[Estabelecimentos]" displayFolder="" count="0" memberValueDatatype="130" unbalanced="0"/>
    <cacheHierarchy uniqueName="[Estabelecimentos].[@-Ativo]" caption="@-Ativo" attribute="1" defaultMemberUniqueName="[Estabelecimentos].[@-Ativo].[All]" allUniqueName="[Estabelecimentos].[@-Ativo].[All]" dimensionUniqueName="[Estabelecimentos]" displayFolder="" count="0" memberValueDatatype="11" unbalanced="0"/>
    <cacheHierarchy uniqueName="[Estabelecimentos].[@-Ministerio]" caption="@-Ministerio" attribute="1" defaultMemberUniqueName="[Estabelecimentos].[@-Ministerio].[All]" allUniqueName="[Estabelecimentos].[@-Ministerio].[All]" dimensionUniqueName="[Estabelecimentos]" displayFolder="" count="0" memberValueDatatype="11" unbalanced="0"/>
    <cacheHierarchy uniqueName="[Estabelecimentos].[@-Distribuidor]" caption="@-Distribuidor" attribute="1" defaultMemberUniqueName="[Estabelecimentos].[@-Distribuidor].[All]" allUniqueName="[Estabelecimentos].[@-Distribuidor].[All]" dimensionUniqueName="[Estabelecimentos]" displayFolder="" count="0" memberValueDatatype="11" unbalanced="0"/>
    <cacheHierarchy uniqueName="[Estabelecimentos].[#FK-Email-Gerente]" caption="#FK-Email-Gerente" attribute="1" defaultMemberUniqueName="[Estabelecimentos].[#FK-Email-Gerente].[All]" allUniqueName="[Estabelecimentos].[#FK-Email-Gerente].[All]" dimensionUniqueName="[Estabelecimentos]" displayFolder="" count="0" memberValueDatatype="130" unbalanced="0"/>
    <cacheHierarchy uniqueName="[Estabelecimentos].[#FK-Email-Representante-ESP]" caption="#FK-Email-Representante-ESP" attribute="1" defaultMemberUniqueName="[Estabelecimentos].[#FK-Email-Representante-ESP].[All]" allUniqueName="[Estabelecimentos].[#FK-Email-Representante-ESP].[All]" dimensionUniqueName="[Estabelecimentos]" displayFolder="" count="0" memberValueDatatype="130" unbalanced="0"/>
    <cacheHierarchy uniqueName="[Estabelecimentos].[#FK-Email-Representante-HSP]" caption="#FK-Email-Representante-HSP" attribute="1" defaultMemberUniqueName="[Estabelecimentos].[#FK-Email-Representante-HSP].[All]" allUniqueName="[Estabelecimentos].[#FK-Email-Representante-HSP].[All]" dimensionUniqueName="[Estabelecimentos]" displayFolder="" count="0" memberValueDatatype="130" unbalanced="0"/>
    <cacheHierarchy uniqueName="[Estabelecimentos].[#FK-Email-Representante-EMH]" caption="#FK-Email-Representante-EMH" attribute="1" defaultMemberUniqueName="[Estabelecimentos].[#FK-Email-Representante-EMH].[All]" allUniqueName="[Estabelecimentos].[#FK-Email-Representante-EMH].[All]" dimensionUniqueName="[Estabelecimentos]" displayFolder="" count="0" memberValueDatatype="130" unbalanced="0"/>
    <cacheHierarchy uniqueName="[Gerentes].[#FK-Email-Gerente]" caption="#FK-Email-Gerente" attribute="1" defaultMemberUniqueName="[Gerentes].[#FK-Email-Gerente].[All]" allUniqueName="[Gerentes].[#FK-Email-Gerente].[All]" dimensionUniqueName="[Gerentes]" displayFolder="" count="0" memberValueDatatype="130" unbalanced="0"/>
    <cacheHierarchy uniqueName="[Gerentes].[Gerente]" caption="Gerente" attribute="1" defaultMemberUniqueName="[Gerentes].[Gerente].[All]" allUniqueName="[Gerentes].[Gerente].[All]" dimensionUniqueName="[Gerentes]" displayFolder="" count="0" memberValueDatatype="130" unbalanced="0"/>
    <cacheHierarchy uniqueName="[Gerentes].[@-Ativo]" caption="@-Ativo" attribute="1" defaultMemberUniqueName="[Gerentes].[@-Ativo].[All]" allUniqueName="[Gerentes].[@-Ativo].[All]" dimensionUniqueName="[Gerentes]" displayFolder="" count="0" memberValueDatatype="11" unbalanced="0"/>
    <cacheHierarchy uniqueName="[Gerentes].[@-Calculo-IV]" caption="@-Calculo-IV" attribute="1" defaultMemberUniqueName="[Gerentes].[@-Calculo-IV].[All]" allUniqueName="[Gerentes].[@-Calculo-IV].[All]" dimensionUniqueName="[Gerentes]" displayFolder="" count="0" memberValueDatatype="11" unbalanced="0"/>
    <cacheHierarchy uniqueName="[Produtos].[#PK-Cod-Produto]" caption="#PK-Cod-Produto" attribute="1" defaultMemberUniqueName="[Produtos].[#PK-Cod-Produto].[All]" allUniqueName="[Produtos].[#PK-Cod-Produto].[All]" dimensionUniqueName="[Produtos]" displayFolder="" count="0" memberValueDatatype="130" unbalanced="0"/>
    <cacheHierarchy uniqueName="[Produtos].[#FK-Cod-Linha]" caption="#FK-Cod-Linha" attribute="1" defaultMemberUniqueName="[Produtos].[#FK-Cod-Linha].[All]" allUniqueName="[Produtos].[#FK-Cod-Linha].[All]" dimensionUniqueName="[Produtos]" displayFolder="" count="0" memberValueDatatype="5" unbalanced="0"/>
    <cacheHierarchy uniqueName="[Produtos].[Produto]" caption="Produto" attribute="1" defaultMemberUniqueName="[Produtos].[Produto].[All]" allUniqueName="[Produtos].[Produto].[All]" dimensionUniqueName="[Produtos]" displayFolder="" count="0" memberValueDatatype="130" unbalanced="0"/>
    <cacheHierarchy uniqueName="[Produtos].[Linha]" caption="Linha" attribute="1" defaultMemberUniqueName="[Produtos].[Linha].[All]" allUniqueName="[Produtos].[Linha].[All]" dimensionUniqueName="[Produtos]" displayFolder="" count="0" memberValueDatatype="130" unbalanced="0"/>
    <cacheHierarchy uniqueName="[Produtos].[Grupo-IV-Representante]" caption="Grupo-IV-Representante" attribute="1" defaultMemberUniqueName="[Produtos].[Grupo-IV-Representante].[All]" allUniqueName="[Produtos].[Grupo-IV-Representante].[All]" dimensionUniqueName="[Produtos]" displayFolder="" count="0" memberValueDatatype="130" unbalanced="0"/>
    <cacheHierarchy uniqueName="[Produtos].[Grupo-IV-Gerente]" caption="Grupo-IV-Gerente" attribute="1" defaultMemberUniqueName="[Produtos].[Grupo-IV-Gerente].[All]" allUniqueName="[Produtos].[Grupo-IV-Gerente].[All]" dimensionUniqueName="[Produtos]" displayFolder="" count="0" memberValueDatatype="130" unbalanced="0"/>
    <cacheHierarchy uniqueName="[Produtos].[Fator-EQ]" caption="Fator-EQ" attribute="1" defaultMemberUniqueName="[Produtos].[Fator-EQ].[All]" allUniqueName="[Produtos].[Fator-EQ].[All]" dimensionUniqueName="[Produtos]" displayFolder="" count="0" memberValueDatatype="5" unbalanced="0"/>
    <cacheHierarchy uniqueName="[Produtos].[ASP]" caption="ASP" attribute="1" defaultMemberUniqueName="[Produtos].[ASP].[All]" allUniqueName="[Produtos].[ASP].[All]" dimensionUniqueName="[Produtos]" displayFolder="" count="0" memberValueDatatype="5" unbalanced="0"/>
    <cacheHierarchy uniqueName="[Produtos].[@-IV-Venda]" caption="@-IV-Venda" attribute="1" defaultMemberUniqueName="[Produtos].[@-IV-Venda].[All]" allUniqueName="[Produtos].[@-IV-Venda].[All]" dimensionUniqueName="[Produtos]" displayFolder="" count="0" memberValueDatatype="11" unbalanced="0"/>
    <cacheHierarchy uniqueName="[Produtos].[@-IV-Demanda]" caption="@-IV-Demanda" attribute="1" defaultMemberUniqueName="[Produtos].[@-IV-Demanda].[All]" allUniqueName="[Produtos].[@-IV-Demanda].[All]" dimensionUniqueName="[Produtos]" displayFolder="" count="0" memberValueDatatype="11" unbalanced="0"/>
    <cacheHierarchy uniqueName="[Produtos].[@-ESP]" caption="@-ESP" attribute="1" defaultMemberUniqueName="[Produtos].[@-ESP].[All]" allUniqueName="[Produtos].[@-ESP].[All]" dimensionUniqueName="[Produtos]" displayFolder="" count="0" memberValueDatatype="11" unbalanced="0"/>
    <cacheHierarchy uniqueName="[Produtos].[@-HSP]" caption="@-HSP" attribute="1" defaultMemberUniqueName="[Produtos].[@-HSP].[All]" allUniqueName="[Produtos].[@-HSP].[All]" dimensionUniqueName="[Produtos]" displayFolder="" count="0" memberValueDatatype="11" unbalanced="0"/>
    <cacheHierarchy uniqueName="[Produtos].[@-EMH]" caption="@-EMH" attribute="1" defaultMemberUniqueName="[Produtos].[@-EMH].[All]" allUniqueName="[Produtos].[@-EMH].[All]" dimensionUniqueName="[Produtos]" displayFolder="" count="0" memberValueDatatype="11" unbalanced="0"/>
    <cacheHierarchy uniqueName="[Produtos].[@-Ativo]" caption="@-Ativo" attribute="1" defaultMemberUniqueName="[Produtos].[@-Ativo].[All]" allUniqueName="[Produtos].[@-Ativo].[All]" dimensionUniqueName="[Produtos]" displayFolder="" count="0" memberValueDatatype="11" unbalanced="0"/>
    <cacheHierarchy uniqueName="[Produtos].[@-Analisar]" caption="@-Analisar" attribute="1" defaultMemberUniqueName="[Produtos].[@-Analisar].[All]" allUniqueName="[Produtos].[@-Analisar].[All]" dimensionUniqueName="[Produtos]" displayFolder="" count="0" memberValueDatatype="11" unbalanced="0"/>
    <cacheHierarchy uniqueName="[Produtos-Linhas].[#PK-Cod-Linha]" caption="#PK-Cod-Linha" attribute="1" defaultMemberUniqueName="[Produtos-Linhas].[#PK-Cod-Linha].[All]" allUniqueName="[Produtos-Linhas].[#PK-Cod-Linha].[All]" dimensionUniqueName="[Produtos-Linhas]" displayFolder="" count="0" memberValueDatatype="5" unbalanced="0"/>
    <cacheHierarchy uniqueName="[Produtos-Linhas].[Linha]" caption="Linha" attribute="1" defaultMemberUniqueName="[Produtos-Linhas].[Linha].[All]" allUniqueName="[Produtos-Linhas].[Linha].[All]" dimensionUniqueName="[Produtos-Linhas]" displayFolder="" count="2" memberValueDatatype="130" unbalanced="0">
      <fieldsUsage count="2">
        <fieldUsage x="-1"/>
        <fieldUsage x="1"/>
      </fieldsUsage>
    </cacheHierarchy>
    <cacheHierarchy uniqueName="[Produtos-Linhas].[Grupo-IV-Representante]" caption="Grupo-IV-Representante" attribute="1" defaultMemberUniqueName="[Produtos-Linhas].[Grupo-IV-Representante].[All]" allUniqueName="[Produtos-Linhas].[Grupo-IV-Representante].[All]" dimensionUniqueName="[Produtos-Linhas]" displayFolder="" count="0" memberValueDatatype="130" unbalanced="0"/>
    <cacheHierarchy uniqueName="[Produtos-Linhas].[Grupo-IV-Gerente]" caption="Grupo-IV-Gerente" attribute="1" defaultMemberUniqueName="[Produtos-Linhas].[Grupo-IV-Gerente].[All]" allUniqueName="[Produtos-Linhas].[Grupo-IV-Gerente].[All]" dimensionUniqueName="[Produtos-Linhas]" displayFolder="" count="0" memberValueDatatype="130" unbalanced="0"/>
    <cacheHierarchy uniqueName="[Produtos-Linhas].[@-IV-Venda]" caption="@-IV-Venda" attribute="1" defaultMemberUniqueName="[Produtos-Linhas].[@-IV-Venda].[All]" allUniqueName="[Produtos-Linhas].[@-IV-Venda].[All]" dimensionUniqueName="[Produtos-Linhas]" displayFolder="" count="0" memberValueDatatype="11" unbalanced="0"/>
    <cacheHierarchy uniqueName="[Produtos-Linhas].[@-IV-Demanda]" caption="@-IV-Demanda" attribute="1" defaultMemberUniqueName="[Produtos-Linhas].[@-IV-Demanda].[All]" allUniqueName="[Produtos-Linhas].[@-IV-Demanda].[All]" dimensionUniqueName="[Produtos-Linhas]" displayFolder="" count="0" memberValueDatatype="11" unbalanced="0"/>
    <cacheHierarchy uniqueName="[Produtos-Linhas].[@-ESP]" caption="@-ESP" attribute="1" defaultMemberUniqueName="[Produtos-Linhas].[@-ESP].[All]" allUniqueName="[Produtos-Linhas].[@-ESP].[All]" dimensionUniqueName="[Produtos-Linhas]" displayFolder="" count="2" memberValueDatatype="11" unbalanced="0">
      <fieldsUsage count="2">
        <fieldUsage x="-1"/>
        <fieldUsage x="9"/>
      </fieldsUsage>
    </cacheHierarchy>
    <cacheHierarchy uniqueName="[Produtos-Linhas].[@-HSP]" caption="@-HSP" attribute="1" defaultMemberUniqueName="[Produtos-Linhas].[@-HSP].[All]" allUniqueName="[Produtos-Linhas].[@-HSP].[All]" dimensionUniqueName="[Produtos-Linhas]" displayFolder="" count="0" memberValueDatatype="11" unbalanced="0"/>
    <cacheHierarchy uniqueName="[Produtos-Linhas].[@-EMH]" caption="@-EMH" attribute="1" defaultMemberUniqueName="[Produtos-Linhas].[@-EMH].[All]" allUniqueName="[Produtos-Linhas].[@-EMH].[All]" dimensionUniqueName="[Produtos-Linhas]" displayFolder="" count="0" memberValueDatatype="11" unbalanced="0"/>
    <cacheHierarchy uniqueName="[Produtos-Linhas].[@-Analisar]" caption="@-Analisar" attribute="1" defaultMemberUniqueName="[Produtos-Linhas].[@-Analisar].[All]" allUniqueName="[Produtos-Linhas].[@-Analisar].[All]" dimensionUniqueName="[Produtos-Linhas]" displayFolder="" count="0" memberValueDatatype="11" unbalanced="0"/>
    <cacheHierarchy uniqueName="[Representantes].[#PK-Email-Representante]" caption="#PK-Email-Representante" attribute="1" defaultMemberUniqueName="[Representantes].[#PK-Email-Representante].[All]" allUniqueName="[Representantes].[#PK-Email-Representante].[All]" dimensionUniqueName="[Representantes]" displayFolder="" count="0" memberValueDatatype="130" unbalanced="0"/>
    <cacheHierarchy uniqueName="[Representantes].[Representante]" caption="Representante" attribute="1" defaultMemberUniqueName="[Representantes].[Representante].[All]" allUniqueName="[Representantes].[Representante].[All]" dimensionUniqueName="[Representantes]" displayFolder="" count="0" memberValueDatatype="130" unbalanced="0"/>
    <cacheHierarchy uniqueName="[Representantes].[#FK-Email-Gerente]" caption="#FK-Email-Gerente" attribute="1" defaultMemberUniqueName="[Representantes].[#FK-Email-Gerente].[All]" allUniqueName="[Representantes].[#FK-Email-Gerente].[All]" dimensionUniqueName="[Representantes]" displayFolder="" count="0" memberValueDatatype="130" unbalanced="0"/>
    <cacheHierarchy uniqueName="[Representantes].[Gerente]" caption="Gerente" attribute="1" defaultMemberUniqueName="[Representantes].[Gerente].[All]" allUniqueName="[Representantes].[Gerente].[All]" dimensionUniqueName="[Representantes]" displayFolder="" count="0" memberValueDatatype="130" unbalanced="0"/>
    <cacheHierarchy uniqueName="[Representantes].[@-HSP]" caption="@-HSP" attribute="1" defaultMemberUniqueName="[Representantes].[@-HSP].[All]" allUniqueName="[Representantes].[@-HSP].[All]" dimensionUniqueName="[Representantes]" displayFolder="" count="0" memberValueDatatype="11" unbalanced="0"/>
    <cacheHierarchy uniqueName="[Representantes].[@-ESP]" caption="@-ESP" attribute="1" defaultMemberUniqueName="[Representantes].[@-ESP].[All]" allUniqueName="[Representantes].[@-ESP].[All]" dimensionUniqueName="[Representantes]" displayFolder="" count="0" memberValueDatatype="11" unbalanced="0"/>
    <cacheHierarchy uniqueName="[Representantes].[@-EMH]" caption="@-EMH" attribute="1" defaultMemberUniqueName="[Representantes].[@-EMH].[All]" allUniqueName="[Representantes].[@-EMH].[All]" dimensionUniqueName="[Representantes]" displayFolder="" count="0" memberValueDatatype="11" unbalanced="0"/>
    <cacheHierarchy uniqueName="[Representantes].[@-Ativo]" caption="@-Ativo" attribute="1" defaultMemberUniqueName="[Representantes].[@-Ativo].[All]" allUniqueName="[Representantes].[@-Ativo].[All]" dimensionUniqueName="[Representantes]" displayFolder="" count="0" memberValueDatatype="11" unbalanced="0"/>
    <cacheHierarchy uniqueName="[Representantes].[@-Calculo-IV]" caption="@-Calculo-IV" attribute="1" defaultMemberUniqueName="[Representantes].[@-Calculo-IV].[All]" allUniqueName="[Representantes].[@-Calculo-IV].[All]" dimensionUniqueName="[Representantes]" displayFolder="" count="0" memberValueDatatype="11" unbalanced="0"/>
    <cacheHierarchy uniqueName="[Representantes-EMH].[#PK-Email-Representante-EMH]" caption="#PK-Email-Representante-EMH" attribute="1" defaultMemberUniqueName="[Representantes-EMH].[#PK-Email-Representante-EMH].[All]" allUniqueName="[Representantes-EMH].[#PK-Email-Representante-EMH].[All]" dimensionUniqueName="[Representantes-EMH]" displayFolder="" count="0" memberValueDatatype="130" unbalanced="0"/>
    <cacheHierarchy uniqueName="[Representantes-EMH].[Representante-EMH]" caption="Representante-EMH" attribute="1" defaultMemberUniqueName="[Representantes-EMH].[Representante-EMH].[All]" allUniqueName="[Representantes-EMH].[Representante-EMH].[All]" dimensionUniqueName="[Representantes-EMH]" displayFolder="" count="0" memberValueDatatype="130" unbalanced="0"/>
    <cacheHierarchy uniqueName="[Representantes-EMH].[#FK-Email-Gerente]" caption="#FK-Email-Gerente" attribute="1" defaultMemberUniqueName="[Representantes-EMH].[#FK-Email-Gerente].[All]" allUniqueName="[Representantes-EMH].[#FK-Email-Gerente].[All]" dimensionUniqueName="[Representantes-EMH]" displayFolder="" count="0" memberValueDatatype="130" unbalanced="0"/>
    <cacheHierarchy uniqueName="[Representantes-EMH].[Gerente]" caption="Gerente" attribute="1" defaultMemberUniqueName="[Representantes-EMH].[Gerente].[All]" allUniqueName="[Representantes-EMH].[Gerente].[All]" dimensionUniqueName="[Representantes-EMH]" displayFolder="" count="0" memberValueDatatype="130" unbalanced="0"/>
    <cacheHierarchy uniqueName="[Representantes-EMH].[@-Ativo]" caption="@-Ativo" attribute="1" defaultMemberUniqueName="[Representantes-EMH].[@-Ativo].[All]" allUniqueName="[Representantes-EMH].[@-Ativo].[All]" dimensionUniqueName="[Representantes-EMH]" displayFolder="" count="0" memberValueDatatype="11" unbalanced="0"/>
    <cacheHierarchy uniqueName="[Representantes-EMH].[@-Calculo-IV]" caption="@-Calculo-IV" attribute="1" defaultMemberUniqueName="[Representantes-EMH].[@-Calculo-IV].[All]" allUniqueName="[Representantes-EMH].[@-Calculo-IV].[All]" dimensionUniqueName="[Representantes-EMH]" displayFolder="" count="0" memberValueDatatype="11" unbalanced="0"/>
    <cacheHierarchy uniqueName="[Representantes-ESP].[#PK-Email-Representante-ESP]" caption="#PK-Email-Representante-ESP" attribute="1" defaultMemberUniqueName="[Representantes-ESP].[#PK-Email-Representante-ESP].[All]" allUniqueName="[Representantes-ESP].[#PK-Email-Representante-ESP].[All]" dimensionUniqueName="[Representantes-ESP]" displayFolder="" count="2" memberValueDatatype="130" unbalanced="0">
      <fieldsUsage count="2">
        <fieldUsage x="-1"/>
        <fieldUsage x="7"/>
      </fieldsUsage>
    </cacheHierarchy>
    <cacheHierarchy uniqueName="[Representantes-ESP].[Representante-ESP]" caption="Representante-ESP" attribute="1" defaultMemberUniqueName="[Representantes-ESP].[Representante-ESP].[All]" allUniqueName="[Representantes-ESP].[Representante-ESP].[All]" dimensionUniqueName="[Representantes-ESP]" displayFolder="" count="0" memberValueDatatype="130" unbalanced="0"/>
    <cacheHierarchy uniqueName="[Representantes-ESP].[#FK-Email-Gerente]" caption="#FK-Email-Gerente" attribute="1" defaultMemberUniqueName="[Representantes-ESP].[#FK-Email-Gerente].[All]" allUniqueName="[Representantes-ESP].[#FK-Email-Gerente].[All]" dimensionUniqueName="[Representantes-ESP]" displayFolder="" count="0" memberValueDatatype="130" unbalanced="0"/>
    <cacheHierarchy uniqueName="[Representantes-ESP].[Gerente]" caption="Gerente" attribute="1" defaultMemberUniqueName="[Representantes-ESP].[Gerente].[All]" allUniqueName="[Representantes-ESP].[Gerente].[All]" dimensionUniqueName="[Representantes-ESP]" displayFolder="" count="0" memberValueDatatype="130" unbalanced="0"/>
    <cacheHierarchy uniqueName="[Representantes-ESP].[@-Ativo]" caption="@-Ativo" attribute="1" defaultMemberUniqueName="[Representantes-ESP].[@-Ativo].[All]" allUniqueName="[Representantes-ESP].[@-Ativo].[All]" dimensionUniqueName="[Representantes-ESP]" displayFolder="" count="0" memberValueDatatype="11" unbalanced="0"/>
    <cacheHierarchy uniqueName="[Representantes-ESP].[@-Calculo-IV]" caption="@-Calculo-IV" attribute="1" defaultMemberUniqueName="[Representantes-ESP].[@-Calculo-IV].[All]" allUniqueName="[Representantes-ESP].[@-Calculo-IV].[All]" dimensionUniqueName="[Representantes-ESP]" displayFolder="" count="2" memberValueDatatype="11" unbalanced="0">
      <fieldsUsage count="2">
        <fieldUsage x="-1"/>
        <fieldUsage x="8"/>
      </fieldsUsage>
    </cacheHierarchy>
    <cacheHierarchy uniqueName="[Representantes-HSP].[#PK-Email-Representante-HSP]" caption="#PK-Email-Representante-HSP" attribute="1" defaultMemberUniqueName="[Representantes-HSP].[#PK-Email-Representante-HSP].[All]" allUniqueName="[Representantes-HSP].[#PK-Email-Representante-HSP].[All]" dimensionUniqueName="[Representantes-HSP]" displayFolder="" count="0" memberValueDatatype="130" unbalanced="0"/>
    <cacheHierarchy uniqueName="[Representantes-HSP].[Representante-HSP]" caption="Representante-HSP" attribute="1" defaultMemberUniqueName="[Representantes-HSP].[Representante-HSP].[All]" allUniqueName="[Representantes-HSP].[Representante-HSP].[All]" dimensionUniqueName="[Representantes-HSP]" displayFolder="" count="0" memberValueDatatype="130" unbalanced="0"/>
    <cacheHierarchy uniqueName="[Representantes-HSP].[#FK-Email-Gerente]" caption="#FK-Email-Gerente" attribute="1" defaultMemberUniqueName="[Representantes-HSP].[#FK-Email-Gerente].[All]" allUniqueName="[Representantes-HSP].[#FK-Email-Gerente].[All]" dimensionUniqueName="[Representantes-HSP]" displayFolder="" count="0" memberValueDatatype="130" unbalanced="0"/>
    <cacheHierarchy uniqueName="[Representantes-HSP].[Gerente]" caption="Gerente" attribute="1" defaultMemberUniqueName="[Representantes-HSP].[Gerente].[All]" allUniqueName="[Representantes-HSP].[Gerente].[All]" dimensionUniqueName="[Representantes-HSP]" displayFolder="" count="0" memberValueDatatype="130" unbalanced="0"/>
    <cacheHierarchy uniqueName="[Representantes-HSP].[@-Ativo]" caption="@-Ativo" attribute="1" defaultMemberUniqueName="[Representantes-HSP].[@-Ativo].[All]" allUniqueName="[Representantes-HSP].[@-Ativo].[All]" dimensionUniqueName="[Representantes-HSP]" displayFolder="" count="0" memberValueDatatype="11" unbalanced="0"/>
    <cacheHierarchy uniqueName="[Representantes-HSP].[@-Calculo-IV]" caption="@-Calculo-IV" attribute="1" defaultMemberUniqueName="[Representantes-HSP].[@-Calculo-IV].[All]" allUniqueName="[Representantes-HSP].[@-Calculo-IV].[All]" dimensionUniqueName="[Representantes-HSP]" displayFolder="" count="0" memberValueDatatype="11" unbalanced="0"/>
    <cacheHierarchy uniqueName="[Representantes-IV].[#PK-Email-Representante]" caption="#PK-Email-Representante" attribute="1" defaultMemberUniqueName="[Representantes-IV].[#PK-Email-Representante].[All]" allUniqueName="[Representantes-IV].[#PK-Email-Representante].[All]" dimensionUniqueName="[Representantes-IV]" displayFolder="" count="0" memberValueDatatype="130" unbalanced="0"/>
    <cacheHierarchy uniqueName="[Representantes-IV].[Representante]" caption="Representante" attribute="1" defaultMemberUniqueName="[Representantes-IV].[Representante].[All]" allUniqueName="[Representantes-IV].[Representante].[All]" dimensionUniqueName="[Representantes-IV]" displayFolder="" count="0" memberValueDatatype="130" unbalanced="0"/>
    <cacheHierarchy uniqueName="[Representantes-IV].[@-Calculo-IV]" caption="@-Calculo-IV" attribute="1" defaultMemberUniqueName="[Representantes-IV].[@-Calculo-IV].[All]" allUniqueName="[Representantes-IV].[@-Calculo-IV].[All]" dimensionUniqueName="[Representantes-IV]" displayFolder="" count="0" memberValueDatatype="11" unbalanced="0"/>
    <cacheHierarchy uniqueName="[Representantes-IV].[@-HSP]" caption="@-HSP" attribute="1" defaultMemberUniqueName="[Representantes-IV].[@-HSP].[All]" allUniqueName="[Representantes-IV].[@-HSP].[All]" dimensionUniqueName="[Representantes-IV]" displayFolder="" count="0" memberValueDatatype="11" unbalanced="0"/>
    <cacheHierarchy uniqueName="[Representantes-IV].[@-ESP]" caption="@-ESP" attribute="1" defaultMemberUniqueName="[Representantes-IV].[@-ESP].[All]" allUniqueName="[Representantes-IV].[@-ESP].[All]" dimensionUniqueName="[Representantes-IV]" displayFolder="" count="0" memberValueDatatype="11" unbalanced="0"/>
    <cacheHierarchy uniqueName="[Representantes-IV].[@-EMH]" caption="@-EMH" attribute="1" defaultMemberUniqueName="[Representantes-IV].[@-EMH].[All]" allUniqueName="[Representantes-IV].[@-EMH].[All]" dimensionUniqueName="[Representantes-IV]" displayFolder="" count="0" memberValueDatatype="11" unbalanced="0"/>
    <cacheHierarchy uniqueName="[Valores-Gerentes].[#PK-Cobertura]" caption="#PK-Cobertura" attribute="1" defaultMemberUniqueName="[Valores-Gerentes].[#PK-Cobertura].[All]" allUniqueName="[Valores-Gerentes].[#PK-Cobertura].[All]" dimensionUniqueName="[Valores-Gerentes]" displayFolder="" count="0" memberValueDatatype="5" unbalanced="0"/>
    <cacheHierarchy uniqueName="[Valores-Gerentes].[Valor-Base]" caption="Valor-Base" attribute="1" defaultMemberUniqueName="[Valores-Gerentes].[Valor-Base].[All]" allUniqueName="[Valores-Gerentes].[Valor-Base].[All]" dimensionUniqueName="[Valores-Gerentes]" displayFolder="" count="0" memberValueDatatype="5" unbalanced="0"/>
    <cacheHierarchy uniqueName="[Valores-Gerentes].[05.00%-Demanda-BERINERT]" caption="05.00%-Demanda-BERINERT" attribute="1" defaultMemberUniqueName="[Valores-Gerentes].[05.00%-Demanda-BERINERT].[All]" allUniqueName="[Valores-Gerentes].[05.00%-Demanda-BERINERT].[All]" dimensionUniqueName="[Valores-Gerentes]" displayFolder="" count="0" memberValueDatatype="5" unbalanced="0"/>
    <cacheHierarchy uniqueName="[Valores-Gerentes].[02.50%-Demanda-BERIPLEX]" caption="02.50%-Demanda-BERIPLEX" attribute="1" defaultMemberUniqueName="[Valores-Gerentes].[02.50%-Demanda-BERIPLEX].[All]" allUniqueName="[Valores-Gerentes].[02.50%-Demanda-BERIPLEX].[All]" dimensionUniqueName="[Valores-Gerentes]" displayFolder="" count="0" memberValueDatatype="5" unbalanced="0"/>
    <cacheHierarchy uniqueName="[Valores-Gerentes].[02.50%-Demanda-HAEMO]" caption="02.50%-Demanda-HAEMO" attribute="1" defaultMemberUniqueName="[Valores-Gerentes].[02.50%-Demanda-HAEMO].[All]" allUniqueName="[Valores-Gerentes].[02.50%-Demanda-HAEMO].[All]" dimensionUniqueName="[Valores-Gerentes]" displayFolder="" count="0" memberValueDatatype="5" unbalanced="0"/>
    <cacheHierarchy uniqueName="[Valores-Gerentes].[10.00%-Demanda-HIZENTRA]" caption="10.00%-Demanda-HIZENTRA" attribute="1" defaultMemberUniqueName="[Valores-Gerentes].[10.00%-Demanda-HIZENTRA].[All]" allUniqueName="[Valores-Gerentes].[10.00%-Demanda-HIZENTRA].[All]" dimensionUniqueName="[Valores-Gerentes]" displayFolder="" count="0" memberValueDatatype="5" unbalanced="0"/>
    <cacheHierarchy uniqueName="[Valores-Gerentes].[05.00%-Demanda-PRIVIGEN]" caption="05.00%-Demanda-PRIVIGEN" attribute="1" defaultMemberUniqueName="[Valores-Gerentes].[05.00%-Demanda-PRIVIGEN].[All]" allUniqueName="[Valores-Gerentes].[05.00%-Demanda-PRIVIGEN].[All]" dimensionUniqueName="[Valores-Gerentes]" displayFolder="" count="0" memberValueDatatype="5" unbalanced="0"/>
    <cacheHierarchy uniqueName="[Valores-Gerentes].[05.00%-Venda]" caption="05.00%-Venda" attribute="1" defaultMemberUniqueName="[Valores-Gerentes].[05.00%-Venda].[All]" allUniqueName="[Valores-Gerentes].[05.00%-Venda].[All]" dimensionUniqueName="[Valores-Gerentes]" displayFolder="" count="0" memberValueDatatype="5" unbalanced="0"/>
    <cacheHierarchy uniqueName="[Valores-Gerentes].[10.00%-Visitas]" caption="10.00%-Visitas" attribute="1" defaultMemberUniqueName="[Valores-Gerentes].[10.00%-Visitas].[All]" allUniqueName="[Valores-Gerentes].[10.00%-Visitas].[All]" dimensionUniqueName="[Valores-Gerentes]" displayFolder="" count="0" memberValueDatatype="5" unbalanced="0"/>
    <cacheHierarchy uniqueName="[Valores-Gerentes].[10.00%-Connect-MInd]" caption="10.00%-Connect-MInd" attribute="1" defaultMemberUniqueName="[Valores-Gerentes].[10.00%-Connect-MInd].[All]" allUniqueName="[Valores-Gerentes].[10.00%-Connect-MInd].[All]" dimensionUniqueName="[Valores-Gerentes]" displayFolder="" count="0" memberValueDatatype="5" unbalanced="0"/>
    <cacheHierarchy uniqueName="[Valores-Gerentes].[30.00%-Gerente-Contas]" caption="30.00%-Gerente-Contas" attribute="1" defaultMemberUniqueName="[Valores-Gerentes].[30.00%-Gerente-Contas].[All]" allUniqueName="[Valores-Gerentes].[30.00%-Gerente-Contas].[All]" dimensionUniqueName="[Valores-Gerentes]" displayFolder="" count="0" memberValueDatatype="5" unbalanced="0"/>
    <cacheHierarchy uniqueName="[Valores-Gerentes].[10.00%-Plateau]" caption="10.00%-Plateau" attribute="1" defaultMemberUniqueName="[Valores-Gerentes].[10.00%-Plateau].[All]" allUniqueName="[Valores-Gerentes].[10.00%-Plateau].[All]" dimensionUniqueName="[Valores-Gerentes]" displayFolder="" count="0" memberValueDatatype="5" unbalanced="0"/>
    <cacheHierarchy uniqueName="[Valores-Gerentes].[10.00%-Compliance]" caption="10.00%-Compliance" attribute="1" defaultMemberUniqueName="[Valores-Gerentes].[10.00%-Compliance].[All]" allUniqueName="[Valores-Gerentes].[10.00%-Compliance].[All]" dimensionUniqueName="[Valores-Gerentes]" displayFolder="" count="0" memberValueDatatype="5" unbalanced="0"/>
    <cacheHierarchy uniqueName="[Valores-Gerentes].[Check]" caption="Check" attribute="1" defaultMemberUniqueName="[Valores-Gerentes].[Check].[All]" allUniqueName="[Valores-Gerentes].[Check].[All]" dimensionUniqueName="[Valores-Gerentes]" displayFolder="" count="0" memberValueDatatype="130" unbalanced="0"/>
    <cacheHierarchy uniqueName="[Valores-Representantes-EMH].[#PK-Cobertura]" caption="#PK-Cobertura" attribute="1" defaultMemberUniqueName="[Valores-Representantes-EMH].[#PK-Cobertura].[All]" allUniqueName="[Valores-Representantes-EMH].[#PK-Cobertura].[All]" dimensionUniqueName="[Valores-Representantes-EMH]" displayFolder="" count="0" memberValueDatatype="5" unbalanced="0"/>
    <cacheHierarchy uniqueName="[Valores-Representantes-EMH].[Valor-Base]" caption="Valor-Base" attribute="1" defaultMemberUniqueName="[Valores-Representantes-EMH].[Valor-Base].[All]" allUniqueName="[Valores-Representantes-EMH].[Valor-Base].[All]" dimensionUniqueName="[Valores-Representantes-EMH]" displayFolder="" count="0" memberValueDatatype="5" unbalanced="0"/>
    <cacheHierarchy uniqueName="[Valores-Representantes-EMH].[05.00%-Demanda-BERINERT]" caption="05.00%-Demanda-BERINERT" attribute="1" defaultMemberUniqueName="[Valores-Representantes-EMH].[05.00%-Demanda-BERINERT].[All]" allUniqueName="[Valores-Representantes-EMH].[05.00%-Demanda-BERINERT].[All]" dimensionUniqueName="[Valores-Representantes-EMH]" displayFolder="" count="0" memberValueDatatype="5" unbalanced="0"/>
    <cacheHierarchy uniqueName="[Valores-Representantes-EMH].[02.50%-Demanda-BERIPLEX]" caption="02.50%-Demanda-BERIPLEX" attribute="1" defaultMemberUniqueName="[Valores-Representantes-EMH].[02.50%-Demanda-BERIPLEX].[All]" allUniqueName="[Valores-Representantes-EMH].[02.50%-Demanda-BERIPLEX].[All]" dimensionUniqueName="[Valores-Representantes-EMH]" displayFolder="" count="0" memberValueDatatype="5" unbalanced="0"/>
    <cacheHierarchy uniqueName="[Valores-Representantes-EMH].[02.50%-Demanda-HAEMO]" caption="02.50%-Demanda-HAEMO" attribute="1" defaultMemberUniqueName="[Valores-Representantes-EMH].[02.50%-Demanda-HAEMO].[All]" allUniqueName="[Valores-Representantes-EMH].[02.50%-Demanda-HAEMO].[All]" dimensionUniqueName="[Valores-Representantes-EMH]" displayFolder="" count="0" memberValueDatatype="5" unbalanced="0"/>
    <cacheHierarchy uniqueName="[Valores-Representantes-EMH].[10.00%-Demanda-HIZENTRA]" caption="10.00%-Demanda-HIZENTRA" attribute="1" defaultMemberUniqueName="[Valores-Representantes-EMH].[10.00%-Demanda-HIZENTRA].[All]" allUniqueName="[Valores-Representantes-EMH].[10.00%-Demanda-HIZENTRA].[All]" dimensionUniqueName="[Valores-Representantes-EMH]" displayFolder="" count="0" memberValueDatatype="5" unbalanced="0"/>
    <cacheHierarchy uniqueName="[Valores-Representantes-EMH].[05.00%-Demanda-PRIVIGEN]" caption="05.00%-Demanda-PRIVIGEN" attribute="1" defaultMemberUniqueName="[Valores-Representantes-EMH].[05.00%-Demanda-PRIVIGEN].[All]" allUniqueName="[Valores-Representantes-EMH].[05.00%-Demanda-PRIVIGEN].[All]" dimensionUniqueName="[Valores-Representantes-EMH]" displayFolder="" count="0" memberValueDatatype="5" unbalanced="0"/>
    <cacheHierarchy uniqueName="[Valores-Representantes-EMH].[05.00%-Venda]" caption="05.00%-Venda" attribute="1" defaultMemberUniqueName="[Valores-Representantes-EMH].[05.00%-Venda].[All]" allUniqueName="[Valores-Representantes-EMH].[05.00%-Venda].[All]" dimensionUniqueName="[Valores-Representantes-EMH]" displayFolder="" count="0" memberValueDatatype="5" unbalanced="0"/>
    <cacheHierarchy uniqueName="[Valores-Representantes-EMH].[10.00%-Visitas]" caption="10.00%-Visitas" attribute="1" defaultMemberUniqueName="[Valores-Representantes-EMH].[10.00%-Visitas].[All]" allUniqueName="[Valores-Representantes-EMH].[10.00%-Visitas].[All]" dimensionUniqueName="[Valores-Representantes-EMH]" displayFolder="" count="0" memberValueDatatype="5" unbalanced="0"/>
    <cacheHierarchy uniqueName="[Valores-Representantes-EMH].[10.00%-Connect-MInd]" caption="10.00%-Connect-MInd" attribute="1" defaultMemberUniqueName="[Valores-Representantes-EMH].[10.00%-Connect-MInd].[All]" allUniqueName="[Valores-Representantes-EMH].[10.00%-Connect-MInd].[All]" dimensionUniqueName="[Valores-Representantes-EMH]" displayFolder="" count="0" memberValueDatatype="5" unbalanced="0"/>
    <cacheHierarchy uniqueName="[Valores-Representantes-EMH].[30.00%-Gerente-Contas]" caption="30.00%-Gerente-Contas" attribute="1" defaultMemberUniqueName="[Valores-Representantes-EMH].[30.00%-Gerente-Contas].[All]" allUniqueName="[Valores-Representantes-EMH].[30.00%-Gerente-Contas].[All]" dimensionUniqueName="[Valores-Representantes-EMH]" displayFolder="" count="0" memberValueDatatype="5" unbalanced="0"/>
    <cacheHierarchy uniqueName="[Valores-Representantes-EMH].[10.00%-Plateau]" caption="10.00%-Plateau" attribute="1" defaultMemberUniqueName="[Valores-Representantes-EMH].[10.00%-Plateau].[All]" allUniqueName="[Valores-Representantes-EMH].[10.00%-Plateau].[All]" dimensionUniqueName="[Valores-Representantes-EMH]" displayFolder="" count="0" memberValueDatatype="5" unbalanced="0"/>
    <cacheHierarchy uniqueName="[Valores-Representantes-EMH].[10.00%-Compliance]" caption="10.00%-Compliance" attribute="1" defaultMemberUniqueName="[Valores-Representantes-EMH].[10.00%-Compliance].[All]" allUniqueName="[Valores-Representantes-EMH].[10.00%-Compliance].[All]" dimensionUniqueName="[Valores-Representantes-EMH]" displayFolder="" count="0" memberValueDatatype="5" unbalanced="0"/>
    <cacheHierarchy uniqueName="[Valores-Representantes-EMH].[Check]" caption="Check" attribute="1" defaultMemberUniqueName="[Valores-Representantes-EMH].[Check].[All]" allUniqueName="[Valores-Representantes-EMH].[Check].[All]" dimensionUniqueName="[Valores-Representantes-EMH]" displayFolder="" count="0" memberValueDatatype="130" unbalanced="0"/>
    <cacheHierarchy uniqueName="[Valores-Representantes-ESP].[#PK-Cobertura]" caption="#PK-Cobertura" attribute="1" defaultMemberUniqueName="[Valores-Representantes-ESP].[#PK-Cobertura].[All]" allUniqueName="[Valores-Representantes-ESP].[#PK-Cobertura].[All]" dimensionUniqueName="[Valores-Representantes-ESP]" displayFolder="" count="0" memberValueDatatype="5" unbalanced="0"/>
    <cacheHierarchy uniqueName="[Valores-Representantes-ESP].[Valor-Base]" caption="Valor-Base" attribute="1" defaultMemberUniqueName="[Valores-Representantes-ESP].[Valor-Base].[All]" allUniqueName="[Valores-Representantes-ESP].[Valor-Base].[All]" dimensionUniqueName="[Valores-Representantes-ESP]" displayFolder="" count="0" memberValueDatatype="5" unbalanced="0"/>
    <cacheHierarchy uniqueName="[Valores-Representantes-ESP].[05.00%-Demanda-BERINERT]" caption="05.00%-Demanda-BERINERT" attribute="1" defaultMemberUniqueName="[Valores-Representantes-ESP].[05.00%-Demanda-BERINERT].[All]" allUniqueName="[Valores-Representantes-ESP].[05.00%-Demanda-BERINERT].[All]" dimensionUniqueName="[Valores-Representantes-ESP]" displayFolder="" count="0" memberValueDatatype="5" unbalanced="0"/>
    <cacheHierarchy uniqueName="[Valores-Representantes-ESP].[00.00%-Demanda-BERIPLEX]" caption="00.00%-Demanda-BERIPLEX" attribute="1" defaultMemberUniqueName="[Valores-Representantes-ESP].[00.00%-Demanda-BERIPLEX].[All]" allUniqueName="[Valores-Representantes-ESP].[00.00%-Demanda-BERIPLEX].[All]" dimensionUniqueName="[Valores-Representantes-ESP]" displayFolder="" count="0" memberValueDatatype="5" unbalanced="0"/>
    <cacheHierarchy uniqueName="[Valores-Representantes-ESP].[00.00%-Demanda-HAEMO]" caption="00.00%-Demanda-HAEMO" attribute="1" defaultMemberUniqueName="[Valores-Representantes-ESP].[00.00%-Demanda-HAEMO].[All]" allUniqueName="[Valores-Representantes-ESP].[00.00%-Demanda-HAEMO].[All]" dimensionUniqueName="[Valores-Representantes-ESP]" displayFolder="" count="0" memberValueDatatype="5" unbalanced="0"/>
    <cacheHierarchy uniqueName="[Valores-Representantes-ESP].[15.00%-Demanda-HIZENTRA]" caption="15.00%-Demanda-HIZENTRA" attribute="1" defaultMemberUniqueName="[Valores-Representantes-ESP].[15.00%-Demanda-HIZENTRA].[All]" allUniqueName="[Valores-Representantes-ESP].[15.00%-Demanda-HIZENTRA].[All]" dimensionUniqueName="[Valores-Representantes-ESP]" displayFolder="" count="0" memberValueDatatype="5" unbalanced="0"/>
    <cacheHierarchy uniqueName="[Valores-Representantes-ESP].[05.00%-Demanda-PRIVIGEN]" caption="05.00%-Demanda-PRIVIGEN" attribute="1" defaultMemberUniqueName="[Valores-Representantes-ESP].[05.00%-Demanda-PRIVIGEN].[All]" allUniqueName="[Valores-Representantes-ESP].[05.00%-Demanda-PRIVIGEN].[All]" dimensionUniqueName="[Valores-Representantes-ESP]" displayFolder="" count="0" memberValueDatatype="5" unbalanced="0"/>
    <cacheHierarchy uniqueName="[Valores-Representantes-ESP].[05.00%-Venda]" caption="05.00%-Venda" attribute="1" defaultMemberUniqueName="[Valores-Representantes-ESP].[05.00%-Venda].[All]" allUniqueName="[Valores-Representantes-ESP].[05.00%-Venda].[All]" dimensionUniqueName="[Valores-Representantes-ESP]" displayFolder="" count="0" memberValueDatatype="5" unbalanced="0"/>
    <cacheHierarchy uniqueName="[Valores-Representantes-ESP].[10.00%-Visitas]" caption="10.00%-Visitas" attribute="1" defaultMemberUniqueName="[Valores-Representantes-ESP].[10.00%-Visitas].[All]" allUniqueName="[Valores-Representantes-ESP].[10.00%-Visitas].[All]" dimensionUniqueName="[Valores-Representantes-ESP]" displayFolder="" count="0" memberValueDatatype="5" unbalanced="0"/>
    <cacheHierarchy uniqueName="[Valores-Representantes-ESP].[10.00%-Connect-MInd]" caption="10.00%-Connect-MInd" attribute="1" defaultMemberUniqueName="[Valores-Representantes-ESP].[10.00%-Connect-MInd].[All]" allUniqueName="[Valores-Representantes-ESP].[10.00%-Connect-MInd].[All]" dimensionUniqueName="[Valores-Representantes-ESP]" displayFolder="" count="0" memberValueDatatype="5" unbalanced="0"/>
    <cacheHierarchy uniqueName="[Valores-Representantes-ESP].[30.00%-Gerente-Contas]" caption="30.00%-Gerente-Contas" attribute="1" defaultMemberUniqueName="[Valores-Representantes-ESP].[30.00%-Gerente-Contas].[All]" allUniqueName="[Valores-Representantes-ESP].[30.00%-Gerente-Contas].[All]" dimensionUniqueName="[Valores-Representantes-ESP]" displayFolder="" count="0" memberValueDatatype="5" unbalanced="0"/>
    <cacheHierarchy uniqueName="[Valores-Representantes-ESP].[10.00%-Plateau]" caption="10.00%-Plateau" attribute="1" defaultMemberUniqueName="[Valores-Representantes-ESP].[10.00%-Plateau].[All]" allUniqueName="[Valores-Representantes-ESP].[10.00%-Plateau].[All]" dimensionUniqueName="[Valores-Representantes-ESP]" displayFolder="" count="0" memberValueDatatype="5" unbalanced="0"/>
    <cacheHierarchy uniqueName="[Valores-Representantes-ESP].[10.00%-Compliance]" caption="10.00%-Compliance" attribute="1" defaultMemberUniqueName="[Valores-Representantes-ESP].[10.00%-Compliance].[All]" allUniqueName="[Valores-Representantes-ESP].[10.00%-Compliance].[All]" dimensionUniqueName="[Valores-Representantes-ESP]" displayFolder="" count="0" memberValueDatatype="5" unbalanced="0"/>
    <cacheHierarchy uniqueName="[Valores-Representantes-ESP].[Check]" caption="Check" attribute="1" defaultMemberUniqueName="[Valores-Representantes-ESP].[Check].[All]" allUniqueName="[Valores-Representantes-ESP].[Check].[All]" dimensionUniqueName="[Valores-Representantes-ESP]" displayFolder="" count="0" memberValueDatatype="130" unbalanced="0"/>
    <cacheHierarchy uniqueName="[Valores-Representantes-HSP].[#PK-Cobertura]" caption="#PK-Cobertura" attribute="1" defaultMemberUniqueName="[Valores-Representantes-HSP].[#PK-Cobertura].[All]" allUniqueName="[Valores-Representantes-HSP].[#PK-Cobertura].[All]" dimensionUniqueName="[Valores-Representantes-HSP]" displayFolder="" count="0" memberValueDatatype="5" unbalanced="0"/>
    <cacheHierarchy uniqueName="[Valores-Representantes-HSP].[Valor-Base]" caption="Valor-Base" attribute="1" defaultMemberUniqueName="[Valores-Representantes-HSP].[Valor-Base].[All]" allUniqueName="[Valores-Representantes-HSP].[Valor-Base].[All]" dimensionUniqueName="[Valores-Representantes-HSP]" displayFolder="" count="0" memberValueDatatype="5" unbalanced="0"/>
    <cacheHierarchy uniqueName="[Valores-Representantes-HSP].[00.00%-Demanda-BERINERT]" caption="00.00%-Demanda-BERINERT" attribute="1" defaultMemberUniqueName="[Valores-Representantes-HSP].[00.00%-Demanda-BERINERT].[All]" allUniqueName="[Valores-Representantes-HSP].[00.00%-Demanda-BERINERT].[All]" dimensionUniqueName="[Valores-Representantes-HSP]" displayFolder="" count="0" memberValueDatatype="5" unbalanced="0"/>
    <cacheHierarchy uniqueName="[Valores-Representantes-HSP].[07.50%-Demanda-BERIPLEX]" caption="07.50%-Demanda-BERIPLEX" attribute="1" defaultMemberUniqueName="[Valores-Representantes-HSP].[07.50%-Demanda-BERIPLEX].[All]" allUniqueName="[Valores-Representantes-HSP].[07.50%-Demanda-BERIPLEX].[All]" dimensionUniqueName="[Valores-Representantes-HSP]" displayFolder="" count="0" memberValueDatatype="5" unbalanced="0"/>
    <cacheHierarchy uniqueName="[Valores-Representantes-HSP].[07.50%-Demanda-HAEMO]" caption="07.50%-Demanda-HAEMO" attribute="1" defaultMemberUniqueName="[Valores-Representantes-HSP].[07.50%-Demanda-HAEMO].[All]" allUniqueName="[Valores-Representantes-HSP].[07.50%-Demanda-HAEMO].[All]" dimensionUniqueName="[Valores-Representantes-HSP]" displayFolder="" count="0" memberValueDatatype="5" unbalanced="0"/>
    <cacheHierarchy uniqueName="[Valores-Representantes-HSP].[00.00%-Demanda-HIZENTRA]" caption="00.00%-Demanda-HIZENTRA" attribute="1" defaultMemberUniqueName="[Valores-Representantes-HSP].[00.00%-Demanda-HIZENTRA].[All]" allUniqueName="[Valores-Representantes-HSP].[00.00%-Demanda-HIZENTRA].[All]" dimensionUniqueName="[Valores-Representantes-HSP]" displayFolder="" count="0" memberValueDatatype="5" unbalanced="0"/>
    <cacheHierarchy uniqueName="[Valores-Representantes-HSP].[10.00%-Demanda-PRIVIGEN]" caption="10.00%-Demanda-PRIVIGEN" attribute="1" defaultMemberUniqueName="[Valores-Representantes-HSP].[10.00%-Demanda-PRIVIGEN].[All]" allUniqueName="[Valores-Representantes-HSP].[10.00%-Demanda-PRIVIGEN].[All]" dimensionUniqueName="[Valores-Representantes-HSP]" displayFolder="" count="0" memberValueDatatype="5" unbalanced="0"/>
    <cacheHierarchy uniqueName="[Valores-Representantes-HSP].[05.00%-Venda]" caption="05.00%-Venda" attribute="1" defaultMemberUniqueName="[Valores-Representantes-HSP].[05.00%-Venda].[All]" allUniqueName="[Valores-Representantes-HSP].[05.00%-Venda].[All]" dimensionUniqueName="[Valores-Representantes-HSP]" displayFolder="" count="0" memberValueDatatype="5" unbalanced="0"/>
    <cacheHierarchy uniqueName="[Valores-Representantes-HSP].[10.00%-Visitas]" caption="10.00%-Visitas" attribute="1" defaultMemberUniqueName="[Valores-Representantes-HSP].[10.00%-Visitas].[All]" allUniqueName="[Valores-Representantes-HSP].[10.00%-Visitas].[All]" dimensionUniqueName="[Valores-Representantes-HSP]" displayFolder="" count="0" memberValueDatatype="5" unbalanced="0"/>
    <cacheHierarchy uniqueName="[Valores-Representantes-HSP].[10.00%-Connect-MInd]" caption="10.00%-Connect-MInd" attribute="1" defaultMemberUniqueName="[Valores-Representantes-HSP].[10.00%-Connect-MInd].[All]" allUniqueName="[Valores-Representantes-HSP].[10.00%-Connect-MInd].[All]" dimensionUniqueName="[Valores-Representantes-HSP]" displayFolder="" count="0" memberValueDatatype="5" unbalanced="0"/>
    <cacheHierarchy uniqueName="[Valores-Representantes-HSP].[30.00%-Gerente-Contas]" caption="30.00%-Gerente-Contas" attribute="1" defaultMemberUniqueName="[Valores-Representantes-HSP].[30.00%-Gerente-Contas].[All]" allUniqueName="[Valores-Representantes-HSP].[30.00%-Gerente-Contas].[All]" dimensionUniqueName="[Valores-Representantes-HSP]" displayFolder="" count="0" memberValueDatatype="5" unbalanced="0"/>
    <cacheHierarchy uniqueName="[Valores-Representantes-HSP].[10.00%-Plateau]" caption="10.00%-Plateau" attribute="1" defaultMemberUniqueName="[Valores-Representantes-HSP].[10.00%-Plateau].[All]" allUniqueName="[Valores-Representantes-HSP].[10.00%-Plateau].[All]" dimensionUniqueName="[Valores-Representantes-HSP]" displayFolder="" count="0" memberValueDatatype="5" unbalanced="0"/>
    <cacheHierarchy uniqueName="[Valores-Representantes-HSP].[10.00%-Compliance]" caption="10.00%-Compliance" attribute="1" defaultMemberUniqueName="[Valores-Representantes-HSP].[10.00%-Compliance].[All]" allUniqueName="[Valores-Representantes-HSP].[10.00%-Compliance].[All]" dimensionUniqueName="[Valores-Representantes-HSP]" displayFolder="" count="0" memberValueDatatype="5" unbalanced="0"/>
    <cacheHierarchy uniqueName="[Valores-Representantes-HSP].[Check]" caption="Check" attribute="1" defaultMemberUniqueName="[Valores-Representantes-HSP].[Check].[All]" allUniqueName="[Valores-Representantes-HSP].[Check].[All]" dimensionUniqueName="[Valores-Representantes-HSP]" displayFolder="" count="0" memberValueDatatype="130" unbalanced="0"/>
    <cacheHierarchy uniqueName="[Venda].[#FK-AnoMes-Unv]" caption="#FK-AnoMes-Unv" attribute="1" defaultMemberUniqueName="[Venda].[#FK-AnoMes-Unv].[All]" allUniqueName="[Venda].[#FK-AnoMes-Unv].[All]" dimensionUniqueName="[Venda]" displayFolder="" count="0" memberValueDatatype="5" unbalanced="0"/>
    <cacheHierarchy uniqueName="[Venda].[#FK-Cod-Linha]" caption="#FK-Cod-Linha" attribute="1" defaultMemberUniqueName="[Venda].[#FK-Cod-Linha].[All]" allUniqueName="[Venda].[#FK-Cod-Linha].[All]" dimensionUniqueName="[Venda]" displayFolder="" count="0" memberValueDatatype="5" unbalanced="0"/>
    <cacheHierarchy uniqueName="[Venda].[#FK-Cod-Produto]" caption="#FK-Cod-Produto" attribute="1" defaultMemberUniqueName="[Venda].[#FK-Cod-Produto].[All]" allUniqueName="[Venda].[#FK-Cod-Produto].[All]" dimensionUniqueName="[Venda]" displayFolder="" count="0" memberValueDatatype="130" unbalanced="0"/>
    <cacheHierarchy uniqueName="[Venda].[#FK-CNPJ-Estabelecimento]" caption="#FK-CNPJ-Estabelecimento" attribute="1" defaultMemberUniqueName="[Venda].[#FK-CNPJ-Estabelecimento].[All]" allUniqueName="[Venda].[#FK-CNPJ-Estabelecimento].[All]" dimensionUniqueName="[Venda]" displayFolder="" count="0" memberValueDatatype="5" unbalanced="0"/>
    <cacheHierarchy uniqueName="[Venda].[@-Ministerio]" caption="@-Ministerio" attribute="1" defaultMemberUniqueName="[Venda].[@-Ministerio].[All]" allUniqueName="[Venda].[@-Ministerio].[All]" dimensionUniqueName="[Venda]" displayFolder="" count="0" memberValueDatatype="11" unbalanced="0"/>
    <cacheHierarchy uniqueName="[Venda].[@-Distribuidor]" caption="@-Distribuidor" attribute="1" defaultMemberUniqueName="[Venda].[@-Distribuidor].[All]" allUniqueName="[Venda].[@-Distribuidor].[All]" dimensionUniqueName="[Venda]" displayFolder="" count="0" memberValueDatatype="11" unbalanced="0"/>
    <cacheHierarchy uniqueName="[Venda].[@-IV-Venda]" caption="@-IV-Venda" attribute="1" defaultMemberUniqueName="[Venda].[@-IV-Venda].[All]" allUniqueName="[Venda].[@-IV-Venda].[All]" dimensionUniqueName="[Venda]" displayFolder="" count="0" memberValueDatatype="11" unbalanced="0"/>
    <cacheHierarchy uniqueName="[Venda].[#FK-Email-Gerente]" caption="#FK-Email-Gerente" attribute="1" defaultMemberUniqueName="[Venda].[#FK-Email-Gerente].[All]" allUniqueName="[Venda].[#FK-Email-Gerente].[All]" dimensionUniqueName="[Venda]" displayFolder="" count="0" memberValueDatatype="130" unbalanced="0"/>
    <cacheHierarchy uniqueName="[Venda].[#FK-Email-Representante]" caption="#FK-Email-Representante" attribute="1" defaultMemberUniqueName="[Venda].[#FK-Email-Representante].[All]" allUniqueName="[Venda].[#FK-Email-Representante].[All]" dimensionUniqueName="[Venda]" displayFolder="" count="0" memberValueDatatype="130" unbalanced="0"/>
    <cacheHierarchy uniqueName="[Venda].[Venda-UN]" caption="Venda-UN" attribute="1" defaultMemberUniqueName="[Venda].[Venda-UN].[All]" allUniqueName="[Venda].[Venda-UN].[All]" dimensionUniqueName="[Venda]" displayFolder="" count="0" memberValueDatatype="5" unbalanced="0"/>
    <cacheHierarchy uniqueName="[Venda].[Venda-EQ]" caption="Venda-EQ" attribute="1" defaultMemberUniqueName="[Venda].[Venda-EQ].[All]" allUniqueName="[Venda].[Venda-EQ].[All]" dimensionUniqueName="[Venda]" displayFolder="" count="0" memberValueDatatype="5" unbalanced="0"/>
    <cacheHierarchy uniqueName="[Venda].[Venda-BRL]" caption="Venda-BRL" attribute="1" defaultMemberUniqueName="[Venda].[Venda-BRL].[All]" allUniqueName="[Venda].[Venda-BRL].[All]" dimensionUniqueName="[Venda]" displayFolder="" count="0" memberValueDatatype="5" unbalanced="0"/>
    <cacheHierarchy uniqueName="[Venda].[Venda-IV]" caption="Venda-IV" attribute="1" defaultMemberUniqueName="[Venda].[Venda-IV].[All]" allUniqueName="[Venda].[Venda-IV].[All]" dimensionUniqueName="[Venda]" displayFolder="" count="0" memberValueDatatype="5" unbalanced="0"/>
    <cacheHierarchy uniqueName="[Visitas-Outros].[#FK-AnoMes-Unv]" caption="#FK-AnoMes-Unv" attribute="1" defaultMemberUniqueName="[Visitas-Outros].[#FK-AnoMes-Unv].[All]" allUniqueName="[Visitas-Outros].[#FK-AnoMes-Unv].[All]" dimensionUniqueName="[Visitas-Outros]" displayFolder="" count="0" memberValueDatatype="5" unbalanced="0"/>
    <cacheHierarchy uniqueName="[Visitas-Outros].[#FK-Email-Gerente]" caption="#FK-Email-Gerente" attribute="1" defaultMemberUniqueName="[Visitas-Outros].[#FK-Email-Gerente].[All]" allUniqueName="[Visitas-Outros].[#FK-Email-Gerente].[All]" dimensionUniqueName="[Visitas-Outros]" displayFolder="" count="0" memberValueDatatype="130" unbalanced="0"/>
    <cacheHierarchy uniqueName="[Visitas-Outros].[#FK-Email-Representante]" caption="#FK-Email-Representante" attribute="1" defaultMemberUniqueName="[Visitas-Outros].[#FK-Email-Representante].[All]" allUniqueName="[Visitas-Outros].[#FK-Email-Representante].[All]" dimensionUniqueName="[Visitas-Outros]" displayFolder="" count="0" memberValueDatatype="130" unbalanced="0"/>
    <cacheHierarchy uniqueName="[Visitas-Outros].[#FK-Email-Representante_ESP]" caption="#FK-Email-Representante_ESP" attribute="1" defaultMemberUniqueName="[Visitas-Outros].[#FK-Email-Representante_ESP].[All]" allUniqueName="[Visitas-Outros].[#FK-Email-Representante_ESP].[All]" dimensionUniqueName="[Visitas-Outros]" displayFolder="" count="0" memberValueDatatype="130" unbalanced="0"/>
    <cacheHierarchy uniqueName="[Visitas-Outros].[#FK-Email-Representante_HSP]" caption="#FK-Email-Representante_HSP" attribute="1" defaultMemberUniqueName="[Visitas-Outros].[#FK-Email-Representante_HSP].[All]" allUniqueName="[Visitas-Outros].[#FK-Email-Representante_HSP].[All]" dimensionUniqueName="[Visitas-Outros]" displayFolder="" count="0" memberValueDatatype="130" unbalanced="0"/>
    <cacheHierarchy uniqueName="[Visitas-Outros].[#FK-Email-Representante_EMH]" caption="#FK-Email-Representante_EMH" attribute="1" defaultMemberUniqueName="[Visitas-Outros].[#FK-Email-Representante_EMH].[All]" allUniqueName="[Visitas-Outros].[#FK-Email-Representante_EMH].[All]" dimensionUniqueName="[Visitas-Outros]" displayFolder="" count="0" memberValueDatatype="130" unbalanced="0"/>
    <cacheHierarchy uniqueName="[Visitas-Outros].[@-ESP]" caption="@-ESP" attribute="1" defaultMemberUniqueName="[Visitas-Outros].[@-ESP].[All]" allUniqueName="[Visitas-Outros].[@-ESP].[All]" dimensionUniqueName="[Visitas-Outros]" displayFolder="" count="0" memberValueDatatype="11" unbalanced="0"/>
    <cacheHierarchy uniqueName="[Visitas-Outros].[@-HSP]" caption="@-HSP" attribute="1" defaultMemberUniqueName="[Visitas-Outros].[@-HSP].[All]" allUniqueName="[Visitas-Outros].[@-HSP].[All]" dimensionUniqueName="[Visitas-Outros]" displayFolder="" count="0" memberValueDatatype="11" unbalanced="0"/>
    <cacheHierarchy uniqueName="[Visitas-Outros].[@-EMH]" caption="@-EMH" attribute="1" defaultMemberUniqueName="[Visitas-Outros].[@-EMH].[All]" allUniqueName="[Visitas-Outros].[@-EMH].[All]" dimensionUniqueName="[Visitas-Outros]" displayFolder="" count="0" memberValueDatatype="11" unbalanced="0"/>
    <cacheHierarchy uniqueName="[Visitas-Outros].[Visitas-Meta]" caption="Visitas-Meta" attribute="1" defaultMemberUniqueName="[Visitas-Outros].[Visitas-Meta].[All]" allUniqueName="[Visitas-Outros].[Visitas-Meta].[All]" dimensionUniqueName="[Visitas-Outros]" displayFolder="" count="0" memberValueDatatype="5" unbalanced="0"/>
    <cacheHierarchy uniqueName="[Visitas-Outros].[Visitas-Realizadas]" caption="Visitas-Realizadas" attribute="1" defaultMemberUniqueName="[Visitas-Outros].[Visitas-Realizadas].[All]" allUniqueName="[Visitas-Outros].[Visitas-Realizadas].[All]" dimensionUniqueName="[Visitas-Outros]" displayFolder="" count="0" memberValueDatatype="5" unbalanced="0"/>
    <cacheHierarchy uniqueName="[Visitas-Outros].[@Garantido-Visitas]" caption="@Garantido-Visitas" attribute="1" defaultMemberUniqueName="[Visitas-Outros].[@Garantido-Visitas].[All]" allUniqueName="[Visitas-Outros].[@Garantido-Visitas].[All]" dimensionUniqueName="[Visitas-Outros]" displayFolder="" count="0" memberValueDatatype="11" unbalanced="0"/>
    <cacheHierarchy uniqueName="[Visitas-Outros].[%Realizado-Visitas]" caption="%Realizado-Visitas" attribute="1" defaultMemberUniqueName="[Visitas-Outros].[%Realizado-Visitas].[All]" allUniqueName="[Visitas-Outros].[%Realizado-Visitas].[All]" dimensionUniqueName="[Visitas-Outros]" displayFolder="" count="0" memberValueDatatype="5" unbalanced="0"/>
    <cacheHierarchy uniqueName="[Visitas-Outros].[%Realizado-Connect-Mind]" caption="%Realizado-Connect-Mind" attribute="1" defaultMemberUniqueName="[Visitas-Outros].[%Realizado-Connect-Mind].[All]" allUniqueName="[Visitas-Outros].[%Realizado-Connect-Mind].[All]" dimensionUniqueName="[Visitas-Outros]" displayFolder="" count="0" memberValueDatatype="20" unbalanced="0"/>
    <cacheHierarchy uniqueName="[Visitas-Outros].[%Realizado-Aval-GR]" caption="%Realizado-Aval-GR" attribute="1" defaultMemberUniqueName="[Visitas-Outros].[%Realizado-Aval-GR].[All]" allUniqueName="[Visitas-Outros].[%Realizado-Aval-GR].[All]" dimensionUniqueName="[Visitas-Outros]" displayFolder="" count="0" memberValueDatatype="20" unbalanced="0"/>
    <cacheHierarchy uniqueName="[Visitas-Outros].[%Realizado-Plateau]" caption="%Realizado-Plateau" attribute="1" defaultMemberUniqueName="[Visitas-Outros].[%Realizado-Plateau].[All]" allUniqueName="[Visitas-Outros].[%Realizado-Plateau].[All]" dimensionUniqueName="[Visitas-Outros]" displayFolder="" count="0" memberValueDatatype="20" unbalanced="0"/>
    <cacheHierarchy uniqueName="[Visitas-Outros].[%Realizado-Compliance]" caption="%Realizado-Compliance" attribute="1" defaultMemberUniqueName="[Visitas-Outros].[%Realizado-Compliance].[All]" allUniqueName="[Visitas-Outros].[%Realizado-Compliance].[All]" dimensionUniqueName="[Visitas-Outros]" displayFolder="" count="0" memberValueDatatype="20" unbalanced="0"/>
    <cacheHierarchy uniqueName="[Measures].[__XL_Count Datas]" caption="__XL_Count Datas" measure="1" displayFolder="" measureGroup="Datas" count="0" hidden="1"/>
    <cacheHierarchy uniqueName="[Measures].[__XL_Count Demanda]" caption="__XL_Count Demanda" measure="1" displayFolder="" measureGroup="Demanda" count="0" hidden="1"/>
    <cacheHierarchy uniqueName="[Measures].[__XL_Count Distribuidores]" caption="__XL_Count Distribuidores" measure="1" displayFolder="" measureGroup="Distribuidores" count="0" hidden="1"/>
    <cacheHierarchy uniqueName="[Measures].[__XL_Count Estabelecimentos]" caption="__XL_Count Estabelecimentos" measure="1" displayFolder="" measureGroup="Estabelecimentos" count="0" hidden="1"/>
    <cacheHierarchy uniqueName="[Measures].[__XL_Count Gerentes]" caption="__XL_Count Gerentes" measure="1" displayFolder="" measureGroup="Gerentes" count="0" hidden="1"/>
    <cacheHierarchy uniqueName="[Measures].[__XL_Count Produtos]" caption="__XL_Count Produtos" measure="1" displayFolder="" measureGroup="Produtos" count="0" hidden="1"/>
    <cacheHierarchy uniqueName="[Measures].[__XL_Count Produtos-Linhas]" caption="__XL_Count Produtos-Linhas" measure="1" displayFolder="" measureGroup="Produtos-Linhas" count="0" hidden="1"/>
    <cacheHierarchy uniqueName="[Measures].[__XL_Count Representantes]" caption="__XL_Count Representantes" measure="1" displayFolder="" measureGroup="Representantes" count="0" hidden="1"/>
    <cacheHierarchy uniqueName="[Measures].[__XL_Count Representantes-EMH]" caption="__XL_Count Representantes-EMH" measure="1" displayFolder="" measureGroup="Representantes-EMH" count="0" hidden="1"/>
    <cacheHierarchy uniqueName="[Measures].[__XL_Count Representantes-ESP]" caption="__XL_Count Representantes-ESP" measure="1" displayFolder="" measureGroup="Representantes-ESP" count="0" hidden="1"/>
    <cacheHierarchy uniqueName="[Measures].[__XL_Count Representantes-HSP]" caption="__XL_Count Representantes-HSP" measure="1" displayFolder="" measureGroup="Representantes-HSP" count="0" hidden="1"/>
    <cacheHierarchy uniqueName="[Measures].[__XL_Count Venda]" caption="__XL_Count Venda" measure="1" displayFolder="" measureGroup="Venda" count="0" hidden="1"/>
    <cacheHierarchy uniqueName="[Measures].[__XL_Count Visitas-Outros]" caption="__XL_Count Visitas-Outros" measure="1" displayFolder="" measureGroup="Visitas-Outros" count="0" hidden="1"/>
    <cacheHierarchy uniqueName="[Measures].[__XL_Count Cota-Venda]" caption="__XL_Count Cota-Venda" measure="1" displayFolder="" measureGroup="Cota-Venda" count="0" hidden="1"/>
    <cacheHierarchy uniqueName="[Measures].[__XL_Count Cota-Demanda]" caption="__XL_Count Cota-Demanda" measure="1" displayFolder="" measureGroup="Cota-Demanda" count="0" hidden="1"/>
    <cacheHierarchy uniqueName="[Measures].[__XL_Count Valores-Gerentes]" caption="__XL_Count Valores-Gerentes" measure="1" displayFolder="" measureGroup="Valores-Gerentes" count="0" hidden="1"/>
    <cacheHierarchy uniqueName="[Measures].[__XL_Count Valores-Representantes-EMH]" caption="__XL_Count Valores-Representantes-EMH" measure="1" displayFolder="" measureGroup="Valores-Representantes-EMH" count="0" hidden="1"/>
    <cacheHierarchy uniqueName="[Measures].[__XL_Count Valores-Representantes-HSP]" caption="__XL_Count Valores-Representantes-HSP" measure="1" displayFolder="" measureGroup="Valores-Representantes-HSP" count="0" hidden="1"/>
    <cacheHierarchy uniqueName="[Measures].[__XL_Count Valores-Representantes-ESP]" caption="__XL_Count Valores-Representantes-ESP" measure="1" displayFolder="" measureGroup="Valores-Representantes-ESP" count="0" hidden="1"/>
    <cacheHierarchy uniqueName="[Measures].[__XL_Count Representantes-IV]" caption="__XL_Count Representantes-IV" measure="1" displayFolder="" measureGroup="Representantes-IV" count="0" hidden="1"/>
    <cacheHierarchy uniqueName="[Measures].[__XL_Count Demanda-IV-REP]" caption="__XL_Count Demanda-IV-REP" measure="1" displayFolder="" measureGroup="Demanda-IV-REP" count="0" hidden="1"/>
    <cacheHierarchy uniqueName="[Measures].[__No measures defined]" caption="__No measures defined" measure="1" displayFolder="" count="0" hidden="1"/>
    <cacheHierarchy uniqueName="[Measures].[Soma de Venda-BRL]" caption="Soma de Venda-BRL" measure="1" displayFolder="" measureGroup="Venda" count="0" hidden="1">
      <extLst>
        <ext xmlns:x15="http://schemas.microsoft.com/office/spreadsheetml/2010/11/main" uri="{B97F6D7D-B522-45F9-BDA1-12C45D357490}">
          <x15:cacheHierarchy aggregatedColumn="203"/>
        </ext>
      </extLst>
    </cacheHierarchy>
    <cacheHierarchy uniqueName="[Measures].[Soma de Cota-Venda]" caption="Soma de Cota-Venda" measure="1" displayFolder="" measureGroup="Cota-Vend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Cota-Gerente]" caption="Soma de Cota-Gere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manda-EQ]" caption="Soma de Demanda-EQ" measure="1" displayFolder="" measureGroup="Demanda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oma de Cota-Representante]" caption="Soma de Cota-Representa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Demanda-IV 2]" caption="Soma de Demanda-IV 2" measure="1" displayFolder="" measureGroup="Demand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</cacheHierarchies>
  <kpis count="0"/>
  <dimensions count="22">
    <dimension name="Cota-Demanda" uniqueName="[Cota-Demanda]" caption="Cota-Demanda"/>
    <dimension name="Cota-Venda" uniqueName="[Cota-Venda]" caption="Cota-Venda"/>
    <dimension name="Datas" uniqueName="[Datas]" caption="Datas"/>
    <dimension name="Demanda" uniqueName="[Demanda]" caption="Demanda"/>
    <dimension name="Demanda-IV-REP" uniqueName="[Demanda-IV-REP]" caption="Demanda-IV-REP"/>
    <dimension name="Distribuidores" uniqueName="[Distribuidores]" caption="Distribuidores"/>
    <dimension name="Estabelecimentos" uniqueName="[Estabelecimentos]" caption="Estabelecimentos"/>
    <dimension name="Gerentes" uniqueName="[Gerentes]" caption="Gerentes"/>
    <dimension measure="1" name="Measures" uniqueName="[Measures]" caption="Measures"/>
    <dimension name="Produtos" uniqueName="[Produtos]" caption="Produtos"/>
    <dimension name="Produtos-Linhas" uniqueName="[Produtos-Linhas]" caption="Produtos-Linhas"/>
    <dimension name="Representantes" uniqueName="[Representantes]" caption="Representantes"/>
    <dimension name="Representantes-EMH" uniqueName="[Representantes-EMH]" caption="Representantes-EMH"/>
    <dimension name="Representantes-ESP" uniqueName="[Representantes-ESP]" caption="Representantes-ESP"/>
    <dimension name="Representantes-HSP" uniqueName="[Representantes-HSP]" caption="Representantes-HSP"/>
    <dimension name="Representantes-IV" uniqueName="[Representantes-IV]" caption="Representantes-IV"/>
    <dimension name="Valores-Gerentes" uniqueName="[Valores-Gerentes]" caption="Valores-Gerentes"/>
    <dimension name="Valores-Representantes-EMH" uniqueName="[Valores-Representantes-EMH]" caption="Valores-Representantes-EMH"/>
    <dimension name="Valores-Representantes-ESP" uniqueName="[Valores-Representantes-ESP]" caption="Valores-Representantes-ESP"/>
    <dimension name="Valores-Representantes-HSP" uniqueName="[Valores-Representantes-HSP]" caption="Valores-Representantes-HSP"/>
    <dimension name="Venda" uniqueName="[Venda]" caption="Venda"/>
    <dimension name="Visitas-Outros" uniqueName="[Visitas-Outros]" caption="Visitas-Outros"/>
  </dimensions>
  <measureGroups count="21">
    <measureGroup name="Cota-Demanda" caption="Cota-Demanda"/>
    <measureGroup name="Cota-Venda" caption="Cota-Venda"/>
    <measureGroup name="Datas" caption="Datas"/>
    <measureGroup name="Demanda" caption="Demanda"/>
    <measureGroup name="Demanda-IV-REP" caption="Demanda-IV-REP"/>
    <measureGroup name="Distribuidores" caption="Distribuidores"/>
    <measureGroup name="Estabelecimentos" caption="Estabelecimentos"/>
    <measureGroup name="Gerentes" caption="Gerentes"/>
    <measureGroup name="Produtos" caption="Produtos"/>
    <measureGroup name="Produtos-Linhas" caption="Produtos-Linhas"/>
    <measureGroup name="Representantes" caption="Representantes"/>
    <measureGroup name="Representantes-EMH" caption="Representantes-EMH"/>
    <measureGroup name="Representantes-ESP" caption="Representantes-ESP"/>
    <measureGroup name="Representantes-HSP" caption="Representantes-HSP"/>
    <measureGroup name="Representantes-IV" caption="Representantes-IV"/>
    <measureGroup name="Valores-Gerentes" caption="Valores-Gerentes"/>
    <measureGroup name="Valores-Representantes-EMH" caption="Valores-Representantes-EMH"/>
    <measureGroup name="Valores-Representantes-ESP" caption="Valores-Representantes-ESP"/>
    <measureGroup name="Valores-Representantes-HSP" caption="Valores-Representantes-HSP"/>
    <measureGroup name="Venda" caption="Venda"/>
    <measureGroup name="Visitas-Outros" caption="Visitas-Outros"/>
  </measureGroups>
  <maps count="59">
    <map measureGroup="0" dimension="0"/>
    <map measureGroup="0" dimension="2"/>
    <map measureGroup="0" dimension="7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1" dimension="1"/>
    <map measureGroup="1" dimension="2"/>
    <map measureGroup="1" dimension="7"/>
    <map measureGroup="1" dimension="9"/>
    <map measureGroup="1" dimension="10"/>
    <map measureGroup="1" dimension="11"/>
    <map measureGroup="2" dimension="2"/>
    <map measureGroup="3" dimension="2"/>
    <map measureGroup="3" dimension="3"/>
    <map measureGroup="3" dimension="5"/>
    <map measureGroup="3" dimension="6"/>
    <map measureGroup="3" dimension="7"/>
    <map measureGroup="3" dimension="9"/>
    <map measureGroup="3" dimension="10"/>
    <map measureGroup="3" dimension="12"/>
    <map measureGroup="3" dimension="13"/>
    <map measureGroup="3" dimension="14"/>
    <map measureGroup="4" dimension="2"/>
    <map measureGroup="4" dimension="4"/>
    <map measureGroup="4" dimension="10"/>
    <map measureGroup="4" dimension="11"/>
    <map measureGroup="4" dimension="15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  <map measureGroup="15" dimension="16"/>
    <map measureGroup="16" dimension="17"/>
    <map measureGroup="17" dimension="18"/>
    <map measureGroup="18" dimension="19"/>
    <map measureGroup="19" dimension="2"/>
    <map measureGroup="19" dimension="6"/>
    <map measureGroup="19" dimension="7"/>
    <map measureGroup="19" dimension="9"/>
    <map measureGroup="19" dimension="10"/>
    <map measureGroup="19" dimension="11"/>
    <map measureGroup="19" dimension="20"/>
    <map measureGroup="20" dimension="2"/>
    <map measureGroup="20" dimension="7"/>
    <map measureGroup="20" dimension="11"/>
    <map measureGroup="20" dimension="12"/>
    <map measureGroup="20" dimension="13"/>
    <map measureGroup="20" dimension="14"/>
    <map measureGroup="20" dimension="2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aldomiro Barbosa" refreshedDate="44061.433345138888" backgroundQuery="1" createdVersion="6" refreshedVersion="6" minRefreshableVersion="3" recordCount="0" supportSubquery="1" supportAdvancedDrill="1" xr:uid="{2D6F8884-3B60-459B-B0E2-C5417CB45609}">
  <cacheSource type="external" connectionId="40"/>
  <cacheFields count="10">
    <cacheField name="[Datas].[AnoMes-Fiscal].[AnoMes-Fiscal]" caption="AnoMes-Fiscal" numFmtId="0" hierarchy="30" level="1">
      <sharedItems containsSemiMixedTypes="0" containsNonDate="0" containsString="0"/>
    </cacheField>
    <cacheField name="[Produtos-Linhas].[Linha].[Linha]" caption="Linha" numFmtId="0" hierarchy="94" level="1">
      <sharedItems count="4">
        <s v="BERIPLEX"/>
        <s v="HAEMO"/>
        <s v="HIZENTRA"/>
        <s v="PRIVIGEN"/>
      </sharedItems>
    </cacheField>
    <cacheField name="[Estabelecimentos].[Estabelecimento-CNPJ].[Estabelecimento-CNPJ]" caption="Estabelecimento-CNPJ" numFmtId="0" hierarchy="63" level="1">
      <sharedItems count="34">
        <s v="ALIANCA INSTITUTO DE ONCOLOGIA - BRASÍLIA-DF (09.104.513/0009-74)"/>
        <s v="BENEFICENCIA NIPO BRASILEIRA DA AMAZONIA - BELÉM-PA (04.966.545/0003-70)"/>
        <s v="CETTRO - CENTRO DE CANCER DE BRASILIA - BRASÍLIA-DF (00.520.237/0001-01)"/>
        <s v="DEPOSITO - ARMAZEM MANAUS/AM - MANAUS-AM (12.361.267/0119-85)"/>
        <s v="DF STAR - BRASÍLIA-DF (31.635.857/0006-16)"/>
        <s v="EBSERH HOSPITAL UNIVERSITARIO DE SAO LUIS - SÃO LUÍS-MA (15.126.437/0004-96)"/>
        <s v="ESHO - HOSPITAL ALVORADA DE BRASILIA - BRASÍLIA-DF (29.435.005/0046-20)"/>
        <s v="FUNDACAO SANTA CASA - BELÉM-PA (04.929.345/0001-85)"/>
        <s v="GRUPO ACREDITAR - BRASÍLIA-DF (03.989.821/0001-90)"/>
        <s v="HOSPITAL ADVENTISTA DE BELEM - BELÉM-PA (83.367.342/0002-52)"/>
        <s v="HOSPITAL ANCHIETA LTDA - BRASÍLIA-DF (02.560.878/0001-07)"/>
        <s v="HOSPITAL BRASILIA - BRASÍLIA-DF (60.884.855/0022-89)"/>
        <s v="HOSPITAL DAS CLINICAS - PARAUAPEBAS-PA (01.422.595/0001-36)"/>
        <s v="HOSPITAL DAS FORCAS ARMADAS - BRASÍLIA-DF (03.568.867/0001-36)"/>
        <s v="HOSPITAL DO CORACAO DO BRASIL (REDE DOR) - BRASÍLIA-DF (06.047.087/0042-07)"/>
        <s v="HOSPITAL GUARAS - SÃO LUÍS-MA (12.361.267/0007-89)"/>
        <s v="HOSPITAL REGIONAL DO BAIXO AM DO PARA DR WALDEMAR PENNA - SANTARÉM-PA (24.232.886/0083-03)"/>
        <s v="HOSPITAL SANTA HELENA (REDE DOR) - BRASÍLIA-DF (00.049.791/0001-44)"/>
        <s v="HOSPITAL SANTA MARTA LTDA - BRASÍLIA-DF (00.610.980/0001-44)"/>
        <s v="HOSPITAL SAO DOMINGOS LTDA. - SÃO LUÍS-MA (11.006.293/0001-30)"/>
        <s v="HOSPITAL SAO RAFAEL - IMPERATRIZ-MA (06.413.934/0001-31)"/>
        <s v="HSL UNIDADE BRASILIA - BRASÍLIA-DF (61.590.410/0005-58)"/>
        <s v="ICIPE - BRASÍLIA-DF (10.942.995/0001-63)"/>
        <s v="IHBDF - BRASÍLIA-DF (28.481.233/0001-72)"/>
        <s v="INSTITUTO DE CANCER DE BRASILIA LTDA - BRASÍLIA-DF (11.859.927/0001-06)"/>
        <s v="LAR &amp; SAUDE ASSISTENCIA DOMICILIAR - SÃO LUÍS-MA (05.503.803/0003-44)"/>
        <s v="MATERNIDADE BRASILIA - BRASÍLIA-DF (60.884.855/0019-83)"/>
        <s v="NATUS LUMINE MATERNIDADE - SÃO LUÍS-MA (23.813.270/0001-17)"/>
        <s v="PEDRO FLÁVIO - BELÉM-PA (123.710.092-53)"/>
        <s v="PRIME HOME CARE - BRASÍLIA-DF (16.739.984/0001-67)"/>
        <s v="SAMEL - MANAUS-AM (04.159.778/0001-07)"/>
        <s v="UDI HOSPITAL - SÃO LUÍS-MA (02.284.062/0011-70)"/>
        <s v="UNIMED DA AMAZONIA - FEDERACAO UNIMED DA AMAZONIA - MANAUS-AM (84.112.481/0001-17)"/>
        <s v="UNIMED DE BELEM COOPERATIVA DE TRABALHO MEDICO - BELÉM-PA (04.201.372/0010-28)"/>
      </sharedItems>
    </cacheField>
    <cacheField name="[Measures].[Soma de Demanda-IV 2]" caption="Soma de Demanda-IV 2" numFmtId="0" hierarchy="249" level="32767"/>
    <cacheField name="[Demanda].[@-Ministerio].[@-Ministerio]" caption="@-Ministerio" numFmtId="0" hierarchy="37" level="1">
      <sharedItems containsSemiMixedTypes="0" containsNonDate="0" containsString="0"/>
    </cacheField>
    <cacheField name="[Demanda].[@-Distribuidor].[@-Distribuidor]" caption="@-Distribuidor" numFmtId="0" hierarchy="38" level="1">
      <sharedItems containsSemiMixedTypes="0" containsNonDate="0" containsString="0"/>
    </cacheField>
    <cacheField name="[Demanda].[@-IV-Demanda].[@-IV-Demanda]" caption="@-IV-Demanda" numFmtId="0" hierarchy="39" level="1">
      <sharedItems containsSemiMixedTypes="0" containsNonDate="0" containsString="0"/>
    </cacheField>
    <cacheField name="[Produtos-Linhas].[@-EMH].[@-EMH]" caption="@-EMH" numFmtId="0" hierarchy="101" level="1">
      <sharedItems containsSemiMixedTypes="0" containsNonDate="0" containsString="0"/>
    </cacheField>
    <cacheField name="[Representantes-EMH].[@-Calculo-IV].[@-Calculo-IV]" caption="@-Calculo-IV" numFmtId="0" hierarchy="117" level="1">
      <sharedItems containsSemiMixedTypes="0" containsNonDate="0" containsString="0"/>
    </cacheField>
    <cacheField name="[Representantes-EMH].[#PK-Email-Representante-EMH].[#PK-Email-Representante-EMH]" caption="#PK-Email-Representante-EMH" numFmtId="0" hierarchy="112" level="1">
      <sharedItems containsSemiMixedTypes="0" containsNonDate="0" containsString="0"/>
    </cacheField>
  </cacheFields>
  <cacheHierarchies count="250">
    <cacheHierarchy uniqueName="[Cota-Demanda].[#FK-AnoMes-Unv]" caption="#FK-AnoMes-Unv" attribute="1" defaultMemberUniqueName="[Cota-Demanda].[#FK-AnoMes-Unv].[All]" allUniqueName="[Cota-Demanda].[#FK-AnoMes-Unv].[All]" dimensionUniqueName="[Cota-Demanda]" displayFolder="" count="0" memberValueDatatype="5" unbalanced="0"/>
    <cacheHierarchy uniqueName="[Cota-Demanda].[#FK-Cod-Linha]" caption="#FK-Cod-Linha" attribute="1" defaultMemberUniqueName="[Cota-Demanda].[#FK-Cod-Linha].[All]" allUniqueName="[Cota-Demanda].[#FK-Cod-Linha].[All]" dimensionUniqueName="[Cota-Demanda]" displayFolder="" count="0" memberValueDatatype="5" unbalanced="0"/>
    <cacheHierarchy uniqueName="[Cota-Demanda].[#FK-Email-Gerente]" caption="#FK-Email-Gerente" attribute="1" defaultMemberUniqueName="[Cota-Demanda].[#FK-Email-Gerente].[All]" allUniqueName="[Cota-Demanda].[#FK-Email-Gerente].[All]" dimensionUniqueName="[Cota-Demanda]" displayFolder="" count="0" memberValueDatatype="130" unbalanced="0"/>
    <cacheHierarchy uniqueName="[Cota-Demanda].[#FK-Email-Representante]" caption="#FK-Email-Representante" attribute="1" defaultMemberUniqueName="[Cota-Demanda].[#FK-Email-Representante].[All]" allUniqueName="[Cota-Demanda].[#FK-Email-Representante].[All]" dimensionUniqueName="[Cota-Demanda]" displayFolder="" count="0" memberValueDatatype="130" unbalanced="0"/>
    <cacheHierarchy uniqueName="[Cota-Demanda].[#FK-Email-Representante_ESP]" caption="#FK-Email-Representante_ESP" attribute="1" defaultMemberUniqueName="[Cota-Demanda].[#FK-Email-Representante_ESP].[All]" allUniqueName="[Cota-Demanda].[#FK-Email-Representante_ESP].[All]" dimensionUniqueName="[Cota-Demanda]" displayFolder="" count="0" memberValueDatatype="130" unbalanced="0"/>
    <cacheHierarchy uniqueName="[Cota-Demanda].[#FK-Email-Representante_HSP]" caption="#FK-Email-Representante_HSP" attribute="1" defaultMemberUniqueName="[Cota-Demanda].[#FK-Email-Representante_HSP].[All]" allUniqueName="[Cota-Demanda].[#FK-Email-Representante_HSP].[All]" dimensionUniqueName="[Cota-Demanda]" displayFolder="" count="0" memberValueDatatype="130" unbalanced="0"/>
    <cacheHierarchy uniqueName="[Cota-Demanda].[#FK-Email-Representante_EMH]" caption="#FK-Email-Representante_EMH" attribute="1" defaultMemberUniqueName="[Cota-Demanda].[#FK-Email-Representante_EMH].[All]" allUniqueName="[Cota-Demanda].[#FK-Email-Representante_EMH].[All]" dimensionUniqueName="[Cota-Demanda]" displayFolder="" count="0" memberValueDatatype="130" unbalanced="0"/>
    <cacheHierarchy uniqueName="[Cota-Demanda].[@-ESP]" caption="@-ESP" attribute="1" defaultMemberUniqueName="[Cota-Demanda].[@-ESP].[All]" allUniqueName="[Cota-Demanda].[@-ESP].[All]" dimensionUniqueName="[Cota-Demanda]" displayFolder="" count="0" memberValueDatatype="11" unbalanced="0"/>
    <cacheHierarchy uniqueName="[Cota-Demanda].[@-HSP]" caption="@-HSP" attribute="1" defaultMemberUniqueName="[Cota-Demanda].[@-HSP].[All]" allUniqueName="[Cota-Demanda].[@-HSP].[All]" dimensionUniqueName="[Cota-Demanda]" displayFolder="" count="0" memberValueDatatype="11" unbalanced="0"/>
    <cacheHierarchy uniqueName="[Cota-Demanda].[@-EMH]" caption="@-EMH" attribute="1" defaultMemberUniqueName="[Cota-Demanda].[@-EMH].[All]" allUniqueName="[Cota-Demanda].[@-EMH].[All]" dimensionUniqueName="[Cota-Demanda]" displayFolder="" count="0" memberValueDatatype="11" unbalanced="0"/>
    <cacheHierarchy uniqueName="[Cota-Demanda].[@-Garantido]" caption="@-Garantido" attribute="1" defaultMemberUniqueName="[Cota-Demanda].[@-Garantido].[All]" allUniqueName="[Cota-Demanda].[@-Garantido].[All]" dimensionUniqueName="[Cota-Demanda]" displayFolder="" count="0" memberValueDatatype="11" unbalanced="0"/>
    <cacheHierarchy uniqueName="[Cota-Demanda].[@-IV-Demanda]" caption="@-IV-Demanda" attribute="1" defaultMemberUniqueName="[Cota-Demanda].[@-IV-Demanda].[All]" allUniqueName="[Cota-Demanda].[@-IV-Demanda].[All]" dimensionUniqueName="[Cota-Demanda]" displayFolder="" count="0" memberValueDatatype="11" unbalanced="0"/>
    <cacheHierarchy uniqueName="[Cota-Demanda].[Cota-Representante]" caption="Cota-Representante" attribute="1" defaultMemberUniqueName="[Cota-Demanda].[Cota-Representante].[All]" allUniqueName="[Cota-Demanda].[Cota-Representante].[All]" dimensionUniqueName="[Cota-Demanda]" displayFolder="" count="0" memberValueDatatype="5" unbalanced="0"/>
    <cacheHierarchy uniqueName="[Cota-Demanda].[Cota-Gerente]" caption="Cota-Gerente" attribute="1" defaultMemberUniqueName="[Cota-Demanda].[Cota-Gerente].[All]" allUniqueName="[Cota-Demanda].[Cota-Gerente].[All]" dimensionUniqueName="[Cota-Demanda]" displayFolder="" count="0" memberValueDatatype="5" unbalanced="0"/>
    <cacheHierarchy uniqueName="[Cota-Venda].[#FK-AnoMes-Unv]" caption="#FK-AnoMes-Unv" attribute="1" defaultMemberUniqueName="[Cota-Venda].[#FK-AnoMes-Unv].[All]" allUniqueName="[Cota-Venda].[#FK-AnoMes-Unv].[All]" dimensionUniqueName="[Cota-Venda]" displayFolder="" count="0" memberValueDatatype="5" unbalanced="0"/>
    <cacheHierarchy uniqueName="[Cota-Venda].[#FK-Cod-Linha]" caption="#FK-Cod-Linha" attribute="1" defaultMemberUniqueName="[Cota-Venda].[#FK-Cod-Linha].[All]" allUniqueName="[Cota-Venda].[#FK-Cod-Linha].[All]" dimensionUniqueName="[Cota-Venda]" displayFolder="" count="0" memberValueDatatype="5" unbalanced="0"/>
    <cacheHierarchy uniqueName="[Cota-Venda].[#FK-Cod-Produto]" caption="#FK-Cod-Produto" attribute="1" defaultMemberUniqueName="[Cota-Venda].[#FK-Cod-Produto].[All]" allUniqueName="[Cota-Venda].[#FK-Cod-Produto].[All]" dimensionUniqueName="[Cota-Venda]" displayFolder="" count="0" memberValueDatatype="130" unbalanced="0"/>
    <cacheHierarchy uniqueName="[Cota-Venda].[#FK-Email-Gerente]" caption="#FK-Email-Gerente" attribute="1" defaultMemberUniqueName="[Cota-Venda].[#FK-Email-Gerente].[All]" allUniqueName="[Cota-Venda].[#FK-Email-Gerente].[All]" dimensionUniqueName="[Cota-Venda]" displayFolder="" count="0" memberValueDatatype="130" unbalanced="0"/>
    <cacheHierarchy uniqueName="[Cota-Venda].[#FK-Email-Representante]" caption="#FK-Email-Representante" attribute="1" defaultMemberUniqueName="[Cota-Venda].[#FK-Email-Representante].[All]" allUniqueName="[Cota-Venda].[#FK-Email-Representante].[All]" dimensionUniqueName="[Cota-Venda]" displayFolder="" count="0" memberValueDatatype="130" unbalanced="0"/>
    <cacheHierarchy uniqueName="[Cota-Venda].[@-Garantido]" caption="@-Garantido" attribute="1" defaultMemberUniqueName="[Cota-Venda].[@-Garantido].[All]" allUniqueName="[Cota-Venda].[@-Garantido].[All]" dimensionUniqueName="[Cota-Venda]" displayFolder="" count="0" memberValueDatatype="11" unbalanced="0"/>
    <cacheHierarchy uniqueName="[Cota-Venda].[@-IV-Venda]" caption="@-IV-Venda" attribute="1" defaultMemberUniqueName="[Cota-Venda].[@-IV-Venda].[All]" allUniqueName="[Cota-Venda].[@-IV-Venda].[All]" dimensionUniqueName="[Cota-Venda]" displayFolder="" count="0" memberValueDatatype="11" unbalanced="0"/>
    <cacheHierarchy uniqueName="[Cota-Venda].[Cota-Venda]" caption="Cota-Venda" attribute="1" defaultMemberUniqueName="[Cota-Venda].[Cota-Venda].[All]" allUniqueName="[Cota-Venda].[Cota-Venda].[All]" dimensionUniqueName="[Cota-Venda]" displayFolder="" count="0" memberValueDatatype="5" unbalanced="0"/>
    <cacheHierarchy uniqueName="[Datas].[#PK-AnoMes-Unv]" caption="#PK-AnoMes-Unv" attribute="1" defaultMemberUniqueName="[Datas].[#PK-AnoMes-Unv].[All]" allUniqueName="[Datas].[#PK-AnoMes-Unv].[All]" dimensionUniqueName="[Datas]" displayFolder="" count="0" memberValueDatatype="5" unbalanced="0"/>
    <cacheHierarchy uniqueName="[Datas].[#Idx-Ano-Unv]" caption="#Idx-Ano-Unv" attribute="1" defaultMemberUniqueName="[Datas].[#Idx-Ano-Unv].[All]" allUniqueName="[Datas].[#Idx-Ano-Unv].[All]" dimensionUniqueName="[Datas]" displayFolder="" count="0" memberValueDatatype="20" unbalanced="0"/>
    <cacheHierarchy uniqueName="[Datas].[#Idx-Mes-Unv]" caption="#Idx-Mes-Unv" attribute="1" defaultMemberUniqueName="[Datas].[#Idx-Mes-Unv].[All]" allUniqueName="[Datas].[#Idx-Mes-Unv].[All]" dimensionUniqueName="[Datas]" displayFolder="" count="0" memberValueDatatype="20" unbalanced="0"/>
    <cacheHierarchy uniqueName="[Datas].[#Idx-Ano-Fiscal]" caption="#Idx-Ano-Fiscal" attribute="1" defaultMemberUniqueName="[Datas].[#Idx-Ano-Fiscal].[All]" allUniqueName="[Datas].[#Idx-Ano-Fiscal].[All]" dimensionUniqueName="[Datas]" displayFolder="" count="0" memberValueDatatype="5" unbalanced="0"/>
    <cacheHierarchy uniqueName="[Datas].[#Idx-Tri-Fiscal]" caption="#Idx-Tri-Fiscal" attribute="1" defaultMemberUniqueName="[Datas].[#Idx-Tri-Fiscal].[All]" allUniqueName="[Datas].[#Idx-Tri-Fiscal].[All]" dimensionUniqueName="[Datas]" displayFolder="" count="0" memberValueDatatype="5" unbalanced="0"/>
    <cacheHierarchy uniqueName="[Datas].[#Idx-Mes-Fiscal]" caption="#Idx-Mes-Fiscal" attribute="1" defaultMemberUniqueName="[Datas].[#Idx-Mes-Fiscal].[All]" allUniqueName="[Datas].[#Idx-Mes-Fiscal].[All]" dimensionUniqueName="[Datas]" displayFolder="" count="0" memberValueDatatype="5" unbalanced="0"/>
    <cacheHierarchy uniqueName="[Datas].[Ano-Fiscal]" caption="Ano-Fiscal" attribute="1" defaultMemberUniqueName="[Datas].[Ano-Fiscal].[All]" allUniqueName="[Datas].[Ano-Fiscal].[All]" dimensionUniqueName="[Datas]" displayFolder="" count="0" memberValueDatatype="130" unbalanced="0"/>
    <cacheHierarchy uniqueName="[Datas].[Tri-Fiscal]" caption="Tri-Fiscal" attribute="1" defaultMemberUniqueName="[Datas].[Tri-Fiscal].[All]" allUniqueName="[Datas].[Tri-Fiscal].[All]" dimensionUniqueName="[Datas]" displayFolder="" count="0" memberValueDatatype="130" unbalanced="0"/>
    <cacheHierarchy uniqueName="[Datas].[AnoMes-Fiscal]" caption="AnoMes-Fiscal" attribute="1" defaultMemberUniqueName="[Datas].[AnoMes-Fiscal].[All]" allUniqueName="[Datas].[AnoMes-Fiscal].[All]" dimensionUniqueName="[Datas]" displayFolder="" count="2" memberValueDatatype="130" unbalanced="0">
      <fieldsUsage count="2">
        <fieldUsage x="-1"/>
        <fieldUsage x="0"/>
      </fieldsUsage>
    </cacheHierarchy>
    <cacheHierarchy uniqueName="[Datas].[Mes-Fiscal]" caption="Mes-Fiscal" attribute="1" defaultMemberUniqueName="[Datas].[Mes-Fiscal].[All]" allUniqueName="[Datas].[Mes-Fiscal].[All]" dimensionUniqueName="[Datas]" displayFolder="" count="0" memberValueDatatype="130" unbalanced="0"/>
    <cacheHierarchy uniqueName="[Demanda].[#FK-AnoMes-Unv]" caption="#FK-AnoMes-Unv" attribute="1" defaultMemberUniqueName="[Demanda].[#FK-AnoMes-Unv].[All]" allUniqueName="[Demanda].[#FK-AnoMes-Unv].[All]" dimensionUniqueName="[Demanda]" displayFolder="" count="0" memberValueDatatype="5" unbalanced="0"/>
    <cacheHierarchy uniqueName="[Demanda].[#FK-Cod-Linha]" caption="#FK-Cod-Linha" attribute="1" defaultMemberUniqueName="[Demanda].[#FK-Cod-Linha].[All]" allUniqueName="[Demanda].[#FK-Cod-Linha].[All]" dimensionUniqueName="[Demanda]" displayFolder="" count="0" memberValueDatatype="5" unbalanced="0"/>
    <cacheHierarchy uniqueName="[Demanda].[#FK-Cod-Produto]" caption="#FK-Cod-Produto" attribute="1" defaultMemberUniqueName="[Demanda].[#FK-Cod-Produto].[All]" allUniqueName="[Demanda].[#FK-Cod-Produto].[All]" dimensionUniqueName="[Demanda]" displayFolder="" count="0" memberValueDatatype="130" unbalanced="0"/>
    <cacheHierarchy uniqueName="[Demanda].[#FK-CNPJ-Distribuidor]" caption="#FK-CNPJ-Distribuidor" attribute="1" defaultMemberUniqueName="[Demanda].[#FK-CNPJ-Distribuidor].[All]" allUniqueName="[Demanda].[#FK-CNPJ-Distribuidor].[All]" dimensionUniqueName="[Demanda]" displayFolder="" count="0" memberValueDatatype="5" unbalanced="0"/>
    <cacheHierarchy uniqueName="[Demanda].[#FK-CNPJ-Estabelecimento]" caption="#FK-CNPJ-Estabelecimento" attribute="1" defaultMemberUniqueName="[Demanda].[#FK-CNPJ-Estabelecimento].[All]" allUniqueName="[Demanda].[#FK-CNPJ-Estabelecimento].[All]" dimensionUniqueName="[Demanda]" displayFolder="" count="0" memberValueDatatype="5" unbalanced="0"/>
    <cacheHierarchy uniqueName="[Demanda].[@-Ministerio]" caption="@-Ministerio" attribute="1" defaultMemberUniqueName="[Demanda].[@-Ministerio].[All]" allUniqueName="[Demanda].[@-Ministerio].[All]" dimensionUniqueName="[Demanda]" displayFolder="" count="2" memberValueDatatype="11" unbalanced="0">
      <fieldsUsage count="2">
        <fieldUsage x="-1"/>
        <fieldUsage x="4"/>
      </fieldsUsage>
    </cacheHierarchy>
    <cacheHierarchy uniqueName="[Demanda].[@-Distribuidor]" caption="@-Distribuidor" attribute="1" defaultMemberUniqueName="[Demanda].[@-Distribuidor].[All]" allUniqueName="[Demanda].[@-Distribuidor].[All]" dimensionUniqueName="[Demanda]" displayFolder="" count="2" memberValueDatatype="11" unbalanced="0">
      <fieldsUsage count="2">
        <fieldUsage x="-1"/>
        <fieldUsage x="5"/>
      </fieldsUsage>
    </cacheHierarchy>
    <cacheHierarchy uniqueName="[Demanda].[@-IV-Demanda]" caption="@-IV-Demanda" attribute="1" defaultMemberUniqueName="[Demanda].[@-IV-Demanda].[All]" allUniqueName="[Demanda].[@-IV-Demanda].[All]" dimensionUniqueName="[Demanda]" displayFolder="" count="2" memberValueDatatype="11" unbalanced="0">
      <fieldsUsage count="2">
        <fieldUsage x="-1"/>
        <fieldUsage x="6"/>
      </fieldsUsage>
    </cacheHierarchy>
    <cacheHierarchy uniqueName="[Demanda].[#FK-Email-Gerente]" caption="#FK-Email-Gerente" attribute="1" defaultMemberUniqueName="[Demanda].[#FK-Email-Gerente].[All]" allUniqueName="[Demanda].[#FK-Email-Gerente].[All]" dimensionUniqueName="[Demanda]" displayFolder="" count="0" memberValueDatatype="130" unbalanced="0"/>
    <cacheHierarchy uniqueName="[Demanda].[#FK-Email-Representante-ESP]" caption="#FK-Email-Representante-ESP" attribute="1" defaultMemberUniqueName="[Demanda].[#FK-Email-Representante-ESP].[All]" allUniqueName="[Demanda].[#FK-Email-Representante-ESP].[All]" dimensionUniqueName="[Demanda]" displayFolder="" count="0" memberValueDatatype="130" unbalanced="0"/>
    <cacheHierarchy uniqueName="[Demanda].[#FK-Email-Representante-HSP]" caption="#FK-Email-Representante-HSP" attribute="1" defaultMemberUniqueName="[Demanda].[#FK-Email-Representante-HSP].[All]" allUniqueName="[Demanda].[#FK-Email-Representante-HSP].[All]" dimensionUniqueName="[Demanda]" displayFolder="" count="0" memberValueDatatype="130" unbalanced="0"/>
    <cacheHierarchy uniqueName="[Demanda].[#FK-Email-Representante-EMH]" caption="#FK-Email-Representante-EMH" attribute="1" defaultMemberUniqueName="[Demanda].[#FK-Email-Representante-EMH].[All]" allUniqueName="[Demanda].[#FK-Email-Representante-EMH].[All]" dimensionUniqueName="[Demanda]" displayFolder="" count="0" memberValueDatatype="130" unbalanced="0"/>
    <cacheHierarchy uniqueName="[Demanda].[Demanda-UN]" caption="Demanda-UN" attribute="1" defaultMemberUniqueName="[Demanda].[Demanda-UN].[All]" allUniqueName="[Demanda].[Demanda-UN].[All]" dimensionUniqueName="[Demanda]" displayFolder="" count="0" memberValueDatatype="5" unbalanced="0"/>
    <cacheHierarchy uniqueName="[Demanda].[Demanda-EQ]" caption="Demanda-EQ" attribute="1" defaultMemberUniqueName="[Demanda].[Demanda-EQ].[All]" allUniqueName="[Demanda].[Demanda-EQ].[All]" dimensionUniqueName="[Demanda]" displayFolder="" count="0" memberValueDatatype="5" unbalanced="0"/>
    <cacheHierarchy uniqueName="[Demanda].[Demanda-BRL]" caption="Demanda-BRL" attribute="1" defaultMemberUniqueName="[Demanda].[Demanda-BRL].[All]" allUniqueName="[Demanda].[Demanda-BRL].[All]" dimensionUniqueName="[Demanda]" displayFolder="" count="0" memberValueDatatype="5" unbalanced="0"/>
    <cacheHierarchy uniqueName="[Demanda].[Demanda-IV]" caption="Demanda-IV" attribute="1" defaultMemberUniqueName="[Demanda].[Demanda-IV].[All]" allUniqueName="[Demanda].[Demanda-IV].[All]" dimensionUniqueName="[Demanda]" displayFolder="" count="0" memberValueDatatype="5" unbalanced="0"/>
    <cacheHierarchy uniqueName="[Demanda-IV-REP].[#FK-AnoMes-Unv]" caption="#FK-AnoMes-Unv" attribute="1" defaultMemberUniqueName="[Demanda-IV-REP].[#FK-AnoMes-Unv].[All]" allUniqueName="[Demanda-IV-REP].[#FK-AnoMes-Unv].[All]" dimensionUniqueName="[Demanda-IV-REP]" displayFolder="" count="0" memberValueDatatype="5" unbalanced="0"/>
    <cacheHierarchy uniqueName="[Demanda-IV-REP].[#FK-Email-Representante]" caption="#FK-Email-Representante" attribute="1" defaultMemberUniqueName="[Demanda-IV-REP].[#FK-Email-Representante].[All]" allUniqueName="[Demanda-IV-REP].[#FK-Email-Representante].[All]" dimensionUniqueName="[Demanda-IV-REP]" displayFolder="" count="0" memberValueDatatype="130" unbalanced="0"/>
    <cacheHierarchy uniqueName="[Demanda-IV-REP].[#FK-Cod-Linha]" caption="#FK-Cod-Linha" attribute="1" defaultMemberUniqueName="[Demanda-IV-REP].[#FK-Cod-Linha].[All]" allUniqueName="[Demanda-IV-REP].[#FK-Cod-Linha].[All]" dimensionUniqueName="[Demanda-IV-REP]" displayFolder="" count="0" memberValueDatatype="5" unbalanced="0"/>
    <cacheHierarchy uniqueName="[Demanda-IV-REP].[@-ESP]" caption="@-ESP" attribute="1" defaultMemberUniqueName="[Demanda-IV-REP].[@-ESP].[All]" allUniqueName="[Demanda-IV-REP].[@-ESP].[All]" dimensionUniqueName="[Demanda-IV-REP]" displayFolder="" count="0" memberValueDatatype="11" unbalanced="0"/>
    <cacheHierarchy uniqueName="[Demanda-IV-REP].[@-HSP]" caption="@-HSP" attribute="1" defaultMemberUniqueName="[Demanda-IV-REP].[@-HSP].[All]" allUniqueName="[Demanda-IV-REP].[@-HSP].[All]" dimensionUniqueName="[Demanda-IV-REP]" displayFolder="" count="0" memberValueDatatype="11" unbalanced="0"/>
    <cacheHierarchy uniqueName="[Demanda-IV-REP].[@-EMH]" caption="@-EMH" attribute="1" defaultMemberUniqueName="[Demanda-IV-REP].[@-EMH].[All]" allUniqueName="[Demanda-IV-REP].[@-EMH].[All]" dimensionUniqueName="[Demanda-IV-REP]" displayFolder="" count="0" memberValueDatatype="11" unbalanced="0"/>
    <cacheHierarchy uniqueName="[Demanda-IV-REP].[Demanda-IV]" caption="Demanda-IV" attribute="1" defaultMemberUniqueName="[Demanda-IV-REP].[Demanda-IV].[All]" allUniqueName="[Demanda-IV-REP].[Demanda-IV].[All]" dimensionUniqueName="[Demanda-IV-REP]" displayFolder="" count="0" memberValueDatatype="5" unbalanced="0"/>
    <cacheHierarchy uniqueName="[Distribuidores].[#PK-CNPJ-Distribuidor]" caption="#PK-CNPJ-Distribuidor" attribute="1" defaultMemberUniqueName="[Distribuidores].[#PK-CNPJ-Distribuidor].[All]" allUniqueName="[Distribuidores].[#PK-CNPJ-Distribuidor].[All]" dimensionUniqueName="[Distribuidores]" displayFolder="" count="0" memberValueDatatype="5" unbalanced="0"/>
    <cacheHierarchy uniqueName="[Distribuidores].[#FK-Id-Grupo-Distribuidor]" caption="#FK-Id-Grupo-Distribuidor" attribute="1" defaultMemberUniqueName="[Distribuidores].[#FK-Id-Grupo-Distribuidor].[All]" allUniqueName="[Distribuidores].[#FK-Id-Grupo-Distribuidor].[All]" dimensionUniqueName="[Distribuidores]" displayFolder="" count="0" memberValueDatatype="5" unbalanced="0"/>
    <cacheHierarchy uniqueName="[Distribuidores].[Distribuidor]" caption="Distribuidor" attribute="1" defaultMemberUniqueName="[Distribuidores].[Distribuidor].[All]" allUniqueName="[Distribuidores].[Distribuidor].[All]" dimensionUniqueName="[Distribuidores]" displayFolder="" count="0" memberValueDatatype="130" unbalanced="0"/>
    <cacheHierarchy uniqueName="[Distribuidores].[Grupo-Distribuidor]" caption="Grupo-Distribuidor" attribute="1" defaultMemberUniqueName="[Distribuidores].[Grupo-Distribuidor].[All]" allUniqueName="[Distribuidores].[Grupo-Distribuidor].[All]" dimensionUniqueName="[Distribuidores]" displayFolder="" count="0" memberValueDatatype="130" unbalanced="0"/>
    <cacheHierarchy uniqueName="[Distribuidores].[@-Ativo-Distribuidor]" caption="@-Ativo-Distribuidor" attribute="1" defaultMemberUniqueName="[Distribuidores].[@-Ativo-Distribuidor].[All]" allUniqueName="[Distribuidores].[@-Ativo-Distribuidor].[All]" dimensionUniqueName="[Distribuidores]" displayFolder="" count="0" memberValueDatatype="11" unbalanced="0"/>
    <cacheHierarchy uniqueName="[Distribuidores].[@-Ativo-Grupo-Distribuidor]" caption="@-Ativo-Grupo-Distribuidor" attribute="1" defaultMemberUniqueName="[Distribuidores].[@-Ativo-Grupo-Distribuidor].[All]" allUniqueName="[Distribuidores].[@-Ativo-Grupo-Distribuidor].[All]" dimensionUniqueName="[Distribuidores]" displayFolder="" count="0" memberValueDatatype="11" unbalanced="0"/>
    <cacheHierarchy uniqueName="[Estabelecimentos].[#PK-CNPJ-Estabelecimento]" caption="#PK-CNPJ-Estabelecimento" attribute="1" defaultMemberUniqueName="[Estabelecimentos].[#PK-CNPJ-Estabelecimento].[All]" allUniqueName="[Estabelecimentos].[#PK-CNPJ-Estabelecimento].[All]" dimensionUniqueName="[Estabelecimentos]" displayFolder="" count="0" memberValueDatatype="5" unbalanced="0"/>
    <cacheHierarchy uniqueName="[Estabelecimentos].[ESTABELECIMENTO]" caption="ESTABELECIMENTO" attribute="1" defaultMemberUniqueName="[Estabelecimentos].[ESTABELECIMENTO].[All]" allUniqueName="[Estabelecimentos].[ESTABELECIMENTO].[All]" dimensionUniqueName="[Estabelecimentos]" displayFolder="" count="0" memberValueDatatype="130" unbalanced="0"/>
    <cacheHierarchy uniqueName="[Estabelecimentos].[Estabelecimento-CNPJ]" caption="Estabelecimento-CNPJ" attribute="1" defaultMemberUniqueName="[Estabelecimentos].[Estabelecimento-CNPJ].[All]" allUniqueName="[Estabelecimentos].[Estabelecimento-CNPJ].[All]" dimensionUniqueName="[Estabelecimentos]" displayFolder="" count="2" memberValueDatatype="130" unbalanced="0">
      <fieldsUsage count="2">
        <fieldUsage x="-1"/>
        <fieldUsage x="2"/>
      </fieldsUsage>
    </cacheHierarchy>
    <cacheHierarchy uniqueName="[Estabelecimentos].[CIDADE]" caption="CIDADE" attribute="1" defaultMemberUniqueName="[Estabelecimentos].[CIDADE].[All]" allUniqueName="[Estabelecimentos].[CIDADE].[All]" dimensionUniqueName="[Estabelecimentos]" displayFolder="" count="0" memberValueDatatype="130" unbalanced="0"/>
    <cacheHierarchy uniqueName="[Estabelecimentos].[UF]" caption="UF" attribute="1" defaultMemberUniqueName="[Estabelecimentos].[UF].[All]" allUniqueName="[Estabelecimentos].[UF].[All]" dimensionUniqueName="[Estabelecimentos]" displayFolder="" count="0" memberValueDatatype="130" unbalanced="0"/>
    <cacheHierarchy uniqueName="[Estabelecimentos].[ESFERA]" caption="ESFERA" attribute="1" defaultMemberUniqueName="[Estabelecimentos].[ESFERA].[All]" allUniqueName="[Estabelecimentos].[ESFERA].[All]" dimensionUniqueName="[Estabelecimentos]" displayFolder="" count="0" memberValueDatatype="130" unbalanced="0"/>
    <cacheHierarchy uniqueName="[Estabelecimentos].[@-Ativo]" caption="@-Ativo" attribute="1" defaultMemberUniqueName="[Estabelecimentos].[@-Ativo].[All]" allUniqueName="[Estabelecimentos].[@-Ativo].[All]" dimensionUniqueName="[Estabelecimentos]" displayFolder="" count="0" memberValueDatatype="11" unbalanced="0"/>
    <cacheHierarchy uniqueName="[Estabelecimentos].[@-Ministerio]" caption="@-Ministerio" attribute="1" defaultMemberUniqueName="[Estabelecimentos].[@-Ministerio].[All]" allUniqueName="[Estabelecimentos].[@-Ministerio].[All]" dimensionUniqueName="[Estabelecimentos]" displayFolder="" count="0" memberValueDatatype="11" unbalanced="0"/>
    <cacheHierarchy uniqueName="[Estabelecimentos].[@-Distribuidor]" caption="@-Distribuidor" attribute="1" defaultMemberUniqueName="[Estabelecimentos].[@-Distribuidor].[All]" allUniqueName="[Estabelecimentos].[@-Distribuidor].[All]" dimensionUniqueName="[Estabelecimentos]" displayFolder="" count="0" memberValueDatatype="11" unbalanced="0"/>
    <cacheHierarchy uniqueName="[Estabelecimentos].[#FK-Email-Gerente]" caption="#FK-Email-Gerente" attribute="1" defaultMemberUniqueName="[Estabelecimentos].[#FK-Email-Gerente].[All]" allUniqueName="[Estabelecimentos].[#FK-Email-Gerente].[All]" dimensionUniqueName="[Estabelecimentos]" displayFolder="" count="0" memberValueDatatype="130" unbalanced="0"/>
    <cacheHierarchy uniqueName="[Estabelecimentos].[#FK-Email-Representante-ESP]" caption="#FK-Email-Representante-ESP" attribute="1" defaultMemberUniqueName="[Estabelecimentos].[#FK-Email-Representante-ESP].[All]" allUniqueName="[Estabelecimentos].[#FK-Email-Representante-ESP].[All]" dimensionUniqueName="[Estabelecimentos]" displayFolder="" count="0" memberValueDatatype="130" unbalanced="0"/>
    <cacheHierarchy uniqueName="[Estabelecimentos].[#FK-Email-Representante-HSP]" caption="#FK-Email-Representante-HSP" attribute="1" defaultMemberUniqueName="[Estabelecimentos].[#FK-Email-Representante-HSP].[All]" allUniqueName="[Estabelecimentos].[#FK-Email-Representante-HSP].[All]" dimensionUniqueName="[Estabelecimentos]" displayFolder="" count="0" memberValueDatatype="130" unbalanced="0"/>
    <cacheHierarchy uniqueName="[Estabelecimentos].[#FK-Email-Representante-EMH]" caption="#FK-Email-Representante-EMH" attribute="1" defaultMemberUniqueName="[Estabelecimentos].[#FK-Email-Representante-EMH].[All]" allUniqueName="[Estabelecimentos].[#FK-Email-Representante-EMH].[All]" dimensionUniqueName="[Estabelecimentos]" displayFolder="" count="0" memberValueDatatype="130" unbalanced="0"/>
    <cacheHierarchy uniqueName="[Gerentes].[#FK-Email-Gerente]" caption="#FK-Email-Gerente" attribute="1" defaultMemberUniqueName="[Gerentes].[#FK-Email-Gerente].[All]" allUniqueName="[Gerentes].[#FK-Email-Gerente].[All]" dimensionUniqueName="[Gerentes]" displayFolder="" count="0" memberValueDatatype="130" unbalanced="0"/>
    <cacheHierarchy uniqueName="[Gerentes].[Gerente]" caption="Gerente" attribute="1" defaultMemberUniqueName="[Gerentes].[Gerente].[All]" allUniqueName="[Gerentes].[Gerente].[All]" dimensionUniqueName="[Gerentes]" displayFolder="" count="0" memberValueDatatype="130" unbalanced="0"/>
    <cacheHierarchy uniqueName="[Gerentes].[@-Ativo]" caption="@-Ativo" attribute="1" defaultMemberUniqueName="[Gerentes].[@-Ativo].[All]" allUniqueName="[Gerentes].[@-Ativo].[All]" dimensionUniqueName="[Gerentes]" displayFolder="" count="0" memberValueDatatype="11" unbalanced="0"/>
    <cacheHierarchy uniqueName="[Gerentes].[@-Calculo-IV]" caption="@-Calculo-IV" attribute="1" defaultMemberUniqueName="[Gerentes].[@-Calculo-IV].[All]" allUniqueName="[Gerentes].[@-Calculo-IV].[All]" dimensionUniqueName="[Gerentes]" displayFolder="" count="0" memberValueDatatype="11" unbalanced="0"/>
    <cacheHierarchy uniqueName="[Produtos].[#PK-Cod-Produto]" caption="#PK-Cod-Produto" attribute="1" defaultMemberUniqueName="[Produtos].[#PK-Cod-Produto].[All]" allUniqueName="[Produtos].[#PK-Cod-Produto].[All]" dimensionUniqueName="[Produtos]" displayFolder="" count="0" memberValueDatatype="130" unbalanced="0"/>
    <cacheHierarchy uniqueName="[Produtos].[#FK-Cod-Linha]" caption="#FK-Cod-Linha" attribute="1" defaultMemberUniqueName="[Produtos].[#FK-Cod-Linha].[All]" allUniqueName="[Produtos].[#FK-Cod-Linha].[All]" dimensionUniqueName="[Produtos]" displayFolder="" count="0" memberValueDatatype="5" unbalanced="0"/>
    <cacheHierarchy uniqueName="[Produtos].[Produto]" caption="Produto" attribute="1" defaultMemberUniqueName="[Produtos].[Produto].[All]" allUniqueName="[Produtos].[Produto].[All]" dimensionUniqueName="[Produtos]" displayFolder="" count="0" memberValueDatatype="130" unbalanced="0"/>
    <cacheHierarchy uniqueName="[Produtos].[Linha]" caption="Linha" attribute="1" defaultMemberUniqueName="[Produtos].[Linha].[All]" allUniqueName="[Produtos].[Linha].[All]" dimensionUniqueName="[Produtos]" displayFolder="" count="0" memberValueDatatype="130" unbalanced="0"/>
    <cacheHierarchy uniqueName="[Produtos].[Grupo-IV-Representante]" caption="Grupo-IV-Representante" attribute="1" defaultMemberUniqueName="[Produtos].[Grupo-IV-Representante].[All]" allUniqueName="[Produtos].[Grupo-IV-Representante].[All]" dimensionUniqueName="[Produtos]" displayFolder="" count="0" memberValueDatatype="130" unbalanced="0"/>
    <cacheHierarchy uniqueName="[Produtos].[Grupo-IV-Gerente]" caption="Grupo-IV-Gerente" attribute="1" defaultMemberUniqueName="[Produtos].[Grupo-IV-Gerente].[All]" allUniqueName="[Produtos].[Grupo-IV-Gerente].[All]" dimensionUniqueName="[Produtos]" displayFolder="" count="0" memberValueDatatype="130" unbalanced="0"/>
    <cacheHierarchy uniqueName="[Produtos].[Fator-EQ]" caption="Fator-EQ" attribute="1" defaultMemberUniqueName="[Produtos].[Fator-EQ].[All]" allUniqueName="[Produtos].[Fator-EQ].[All]" dimensionUniqueName="[Produtos]" displayFolder="" count="0" memberValueDatatype="5" unbalanced="0"/>
    <cacheHierarchy uniqueName="[Produtos].[ASP]" caption="ASP" attribute="1" defaultMemberUniqueName="[Produtos].[ASP].[All]" allUniqueName="[Produtos].[ASP].[All]" dimensionUniqueName="[Produtos]" displayFolder="" count="0" memberValueDatatype="5" unbalanced="0"/>
    <cacheHierarchy uniqueName="[Produtos].[@-IV-Venda]" caption="@-IV-Venda" attribute="1" defaultMemberUniqueName="[Produtos].[@-IV-Venda].[All]" allUniqueName="[Produtos].[@-IV-Venda].[All]" dimensionUniqueName="[Produtos]" displayFolder="" count="0" memberValueDatatype="11" unbalanced="0"/>
    <cacheHierarchy uniqueName="[Produtos].[@-IV-Demanda]" caption="@-IV-Demanda" attribute="1" defaultMemberUniqueName="[Produtos].[@-IV-Demanda].[All]" allUniqueName="[Produtos].[@-IV-Demanda].[All]" dimensionUniqueName="[Produtos]" displayFolder="" count="0" memberValueDatatype="11" unbalanced="0"/>
    <cacheHierarchy uniqueName="[Produtos].[@-ESP]" caption="@-ESP" attribute="1" defaultMemberUniqueName="[Produtos].[@-ESP].[All]" allUniqueName="[Produtos].[@-ESP].[All]" dimensionUniqueName="[Produtos]" displayFolder="" count="0" memberValueDatatype="11" unbalanced="0"/>
    <cacheHierarchy uniqueName="[Produtos].[@-HSP]" caption="@-HSP" attribute="1" defaultMemberUniqueName="[Produtos].[@-HSP].[All]" allUniqueName="[Produtos].[@-HSP].[All]" dimensionUniqueName="[Produtos]" displayFolder="" count="0" memberValueDatatype="11" unbalanced="0"/>
    <cacheHierarchy uniqueName="[Produtos].[@-EMH]" caption="@-EMH" attribute="1" defaultMemberUniqueName="[Produtos].[@-EMH].[All]" allUniqueName="[Produtos].[@-EMH].[All]" dimensionUniqueName="[Produtos]" displayFolder="" count="0" memberValueDatatype="11" unbalanced="0"/>
    <cacheHierarchy uniqueName="[Produtos].[@-Ativo]" caption="@-Ativo" attribute="1" defaultMemberUniqueName="[Produtos].[@-Ativo].[All]" allUniqueName="[Produtos].[@-Ativo].[All]" dimensionUniqueName="[Produtos]" displayFolder="" count="0" memberValueDatatype="11" unbalanced="0"/>
    <cacheHierarchy uniqueName="[Produtos].[@-Analisar]" caption="@-Analisar" attribute="1" defaultMemberUniqueName="[Produtos].[@-Analisar].[All]" allUniqueName="[Produtos].[@-Analisar].[All]" dimensionUniqueName="[Produtos]" displayFolder="" count="0" memberValueDatatype="11" unbalanced="0"/>
    <cacheHierarchy uniqueName="[Produtos-Linhas].[#PK-Cod-Linha]" caption="#PK-Cod-Linha" attribute="1" defaultMemberUniqueName="[Produtos-Linhas].[#PK-Cod-Linha].[All]" allUniqueName="[Produtos-Linhas].[#PK-Cod-Linha].[All]" dimensionUniqueName="[Produtos-Linhas]" displayFolder="" count="0" memberValueDatatype="5" unbalanced="0"/>
    <cacheHierarchy uniqueName="[Produtos-Linhas].[Linha]" caption="Linha" attribute="1" defaultMemberUniqueName="[Produtos-Linhas].[Linha].[All]" allUniqueName="[Produtos-Linhas].[Linha].[All]" dimensionUniqueName="[Produtos-Linhas]" displayFolder="" count="2" memberValueDatatype="130" unbalanced="0">
      <fieldsUsage count="2">
        <fieldUsage x="-1"/>
        <fieldUsage x="1"/>
      </fieldsUsage>
    </cacheHierarchy>
    <cacheHierarchy uniqueName="[Produtos-Linhas].[Grupo-IV-Representante]" caption="Grupo-IV-Representante" attribute="1" defaultMemberUniqueName="[Produtos-Linhas].[Grupo-IV-Representante].[All]" allUniqueName="[Produtos-Linhas].[Grupo-IV-Representante].[All]" dimensionUniqueName="[Produtos-Linhas]" displayFolder="" count="0" memberValueDatatype="130" unbalanced="0"/>
    <cacheHierarchy uniqueName="[Produtos-Linhas].[Grupo-IV-Gerente]" caption="Grupo-IV-Gerente" attribute="1" defaultMemberUniqueName="[Produtos-Linhas].[Grupo-IV-Gerente].[All]" allUniqueName="[Produtos-Linhas].[Grupo-IV-Gerente].[All]" dimensionUniqueName="[Produtos-Linhas]" displayFolder="" count="0" memberValueDatatype="130" unbalanced="0"/>
    <cacheHierarchy uniqueName="[Produtos-Linhas].[@-IV-Venda]" caption="@-IV-Venda" attribute="1" defaultMemberUniqueName="[Produtos-Linhas].[@-IV-Venda].[All]" allUniqueName="[Produtos-Linhas].[@-IV-Venda].[All]" dimensionUniqueName="[Produtos-Linhas]" displayFolder="" count="0" memberValueDatatype="11" unbalanced="0"/>
    <cacheHierarchy uniqueName="[Produtos-Linhas].[@-IV-Demanda]" caption="@-IV-Demanda" attribute="1" defaultMemberUniqueName="[Produtos-Linhas].[@-IV-Demanda].[All]" allUniqueName="[Produtos-Linhas].[@-IV-Demanda].[All]" dimensionUniqueName="[Produtos-Linhas]" displayFolder="" count="0" memberValueDatatype="11" unbalanced="0"/>
    <cacheHierarchy uniqueName="[Produtos-Linhas].[@-ESP]" caption="@-ESP" attribute="1" defaultMemberUniqueName="[Produtos-Linhas].[@-ESP].[All]" allUniqueName="[Produtos-Linhas].[@-ESP].[All]" dimensionUniqueName="[Produtos-Linhas]" displayFolder="" count="0" memberValueDatatype="11" unbalanced="0"/>
    <cacheHierarchy uniqueName="[Produtos-Linhas].[@-HSP]" caption="@-HSP" attribute="1" defaultMemberUniqueName="[Produtos-Linhas].[@-HSP].[All]" allUniqueName="[Produtos-Linhas].[@-HSP].[All]" dimensionUniqueName="[Produtos-Linhas]" displayFolder="" count="0" memberValueDatatype="11" unbalanced="0"/>
    <cacheHierarchy uniqueName="[Produtos-Linhas].[@-EMH]" caption="@-EMH" attribute="1" defaultMemberUniqueName="[Produtos-Linhas].[@-EMH].[All]" allUniqueName="[Produtos-Linhas].[@-EMH].[All]" dimensionUniqueName="[Produtos-Linhas]" displayFolder="" count="2" memberValueDatatype="11" unbalanced="0">
      <fieldsUsage count="2">
        <fieldUsage x="-1"/>
        <fieldUsage x="7"/>
      </fieldsUsage>
    </cacheHierarchy>
    <cacheHierarchy uniqueName="[Produtos-Linhas].[@-Analisar]" caption="@-Analisar" attribute="1" defaultMemberUniqueName="[Produtos-Linhas].[@-Analisar].[All]" allUniqueName="[Produtos-Linhas].[@-Analisar].[All]" dimensionUniqueName="[Produtos-Linhas]" displayFolder="" count="0" memberValueDatatype="11" unbalanced="0"/>
    <cacheHierarchy uniqueName="[Representantes].[#PK-Email-Representante]" caption="#PK-Email-Representante" attribute="1" defaultMemberUniqueName="[Representantes].[#PK-Email-Representante].[All]" allUniqueName="[Representantes].[#PK-Email-Representante].[All]" dimensionUniqueName="[Representantes]" displayFolder="" count="0" memberValueDatatype="130" unbalanced="0"/>
    <cacheHierarchy uniqueName="[Representantes].[Representante]" caption="Representante" attribute="1" defaultMemberUniqueName="[Representantes].[Representante].[All]" allUniqueName="[Representantes].[Representante].[All]" dimensionUniqueName="[Representantes]" displayFolder="" count="0" memberValueDatatype="130" unbalanced="0"/>
    <cacheHierarchy uniqueName="[Representantes].[#FK-Email-Gerente]" caption="#FK-Email-Gerente" attribute="1" defaultMemberUniqueName="[Representantes].[#FK-Email-Gerente].[All]" allUniqueName="[Representantes].[#FK-Email-Gerente].[All]" dimensionUniqueName="[Representantes]" displayFolder="" count="0" memberValueDatatype="130" unbalanced="0"/>
    <cacheHierarchy uniqueName="[Representantes].[Gerente]" caption="Gerente" attribute="1" defaultMemberUniqueName="[Representantes].[Gerente].[All]" allUniqueName="[Representantes].[Gerente].[All]" dimensionUniqueName="[Representantes]" displayFolder="" count="0" memberValueDatatype="130" unbalanced="0"/>
    <cacheHierarchy uniqueName="[Representantes].[@-HSP]" caption="@-HSP" attribute="1" defaultMemberUniqueName="[Representantes].[@-HSP].[All]" allUniqueName="[Representantes].[@-HSP].[All]" dimensionUniqueName="[Representantes]" displayFolder="" count="0" memberValueDatatype="11" unbalanced="0"/>
    <cacheHierarchy uniqueName="[Representantes].[@-ESP]" caption="@-ESP" attribute="1" defaultMemberUniqueName="[Representantes].[@-ESP].[All]" allUniqueName="[Representantes].[@-ESP].[All]" dimensionUniqueName="[Representantes]" displayFolder="" count="0" memberValueDatatype="11" unbalanced="0"/>
    <cacheHierarchy uniqueName="[Representantes].[@-EMH]" caption="@-EMH" attribute="1" defaultMemberUniqueName="[Representantes].[@-EMH].[All]" allUniqueName="[Representantes].[@-EMH].[All]" dimensionUniqueName="[Representantes]" displayFolder="" count="0" memberValueDatatype="11" unbalanced="0"/>
    <cacheHierarchy uniqueName="[Representantes].[@-Ativo]" caption="@-Ativo" attribute="1" defaultMemberUniqueName="[Representantes].[@-Ativo].[All]" allUniqueName="[Representantes].[@-Ativo].[All]" dimensionUniqueName="[Representantes]" displayFolder="" count="0" memberValueDatatype="11" unbalanced="0"/>
    <cacheHierarchy uniqueName="[Representantes].[@-Calculo-IV]" caption="@-Calculo-IV" attribute="1" defaultMemberUniqueName="[Representantes].[@-Calculo-IV].[All]" allUniqueName="[Representantes].[@-Calculo-IV].[All]" dimensionUniqueName="[Representantes]" displayFolder="" count="0" memberValueDatatype="11" unbalanced="0"/>
    <cacheHierarchy uniqueName="[Representantes-EMH].[#PK-Email-Representante-EMH]" caption="#PK-Email-Representante-EMH" attribute="1" defaultMemberUniqueName="[Representantes-EMH].[#PK-Email-Representante-EMH].[All]" allUniqueName="[Representantes-EMH].[#PK-Email-Representante-EMH].[All]" dimensionUniqueName="[Representantes-EMH]" displayFolder="" count="2" memberValueDatatype="130" unbalanced="0">
      <fieldsUsage count="2">
        <fieldUsage x="-1"/>
        <fieldUsage x="9"/>
      </fieldsUsage>
    </cacheHierarchy>
    <cacheHierarchy uniqueName="[Representantes-EMH].[Representante-EMH]" caption="Representante-EMH" attribute="1" defaultMemberUniqueName="[Representantes-EMH].[Representante-EMH].[All]" allUniqueName="[Representantes-EMH].[Representante-EMH].[All]" dimensionUniqueName="[Representantes-EMH]" displayFolder="" count="0" memberValueDatatype="130" unbalanced="0"/>
    <cacheHierarchy uniqueName="[Representantes-EMH].[#FK-Email-Gerente]" caption="#FK-Email-Gerente" attribute="1" defaultMemberUniqueName="[Representantes-EMH].[#FK-Email-Gerente].[All]" allUniqueName="[Representantes-EMH].[#FK-Email-Gerente].[All]" dimensionUniqueName="[Representantes-EMH]" displayFolder="" count="0" memberValueDatatype="130" unbalanced="0"/>
    <cacheHierarchy uniqueName="[Representantes-EMH].[Gerente]" caption="Gerente" attribute="1" defaultMemberUniqueName="[Representantes-EMH].[Gerente].[All]" allUniqueName="[Representantes-EMH].[Gerente].[All]" dimensionUniqueName="[Representantes-EMH]" displayFolder="" count="0" memberValueDatatype="130" unbalanced="0"/>
    <cacheHierarchy uniqueName="[Representantes-EMH].[@-Ativo]" caption="@-Ativo" attribute="1" defaultMemberUniqueName="[Representantes-EMH].[@-Ativo].[All]" allUniqueName="[Representantes-EMH].[@-Ativo].[All]" dimensionUniqueName="[Representantes-EMH]" displayFolder="" count="0" memberValueDatatype="11" unbalanced="0"/>
    <cacheHierarchy uniqueName="[Representantes-EMH].[@-Calculo-IV]" caption="@-Calculo-IV" attribute="1" defaultMemberUniqueName="[Representantes-EMH].[@-Calculo-IV].[All]" allUniqueName="[Representantes-EMH].[@-Calculo-IV].[All]" dimensionUniqueName="[Representantes-EMH]" displayFolder="" count="2" memberValueDatatype="11" unbalanced="0">
      <fieldsUsage count="2">
        <fieldUsage x="-1"/>
        <fieldUsage x="8"/>
      </fieldsUsage>
    </cacheHierarchy>
    <cacheHierarchy uniqueName="[Representantes-ESP].[#PK-Email-Representante-ESP]" caption="#PK-Email-Representante-ESP" attribute="1" defaultMemberUniqueName="[Representantes-ESP].[#PK-Email-Representante-ESP].[All]" allUniqueName="[Representantes-ESP].[#PK-Email-Representante-ESP].[All]" dimensionUniqueName="[Representantes-ESP]" displayFolder="" count="0" memberValueDatatype="130" unbalanced="0"/>
    <cacheHierarchy uniqueName="[Representantes-ESP].[Representante-ESP]" caption="Representante-ESP" attribute="1" defaultMemberUniqueName="[Representantes-ESP].[Representante-ESP].[All]" allUniqueName="[Representantes-ESP].[Representante-ESP].[All]" dimensionUniqueName="[Representantes-ESP]" displayFolder="" count="0" memberValueDatatype="130" unbalanced="0"/>
    <cacheHierarchy uniqueName="[Representantes-ESP].[#FK-Email-Gerente]" caption="#FK-Email-Gerente" attribute="1" defaultMemberUniqueName="[Representantes-ESP].[#FK-Email-Gerente].[All]" allUniqueName="[Representantes-ESP].[#FK-Email-Gerente].[All]" dimensionUniqueName="[Representantes-ESP]" displayFolder="" count="0" memberValueDatatype="130" unbalanced="0"/>
    <cacheHierarchy uniqueName="[Representantes-ESP].[Gerente]" caption="Gerente" attribute="1" defaultMemberUniqueName="[Representantes-ESP].[Gerente].[All]" allUniqueName="[Representantes-ESP].[Gerente].[All]" dimensionUniqueName="[Representantes-ESP]" displayFolder="" count="0" memberValueDatatype="130" unbalanced="0"/>
    <cacheHierarchy uniqueName="[Representantes-ESP].[@-Ativo]" caption="@-Ativo" attribute="1" defaultMemberUniqueName="[Representantes-ESP].[@-Ativo].[All]" allUniqueName="[Representantes-ESP].[@-Ativo].[All]" dimensionUniqueName="[Representantes-ESP]" displayFolder="" count="0" memberValueDatatype="11" unbalanced="0"/>
    <cacheHierarchy uniqueName="[Representantes-ESP].[@-Calculo-IV]" caption="@-Calculo-IV" attribute="1" defaultMemberUniqueName="[Representantes-ESP].[@-Calculo-IV].[All]" allUniqueName="[Representantes-ESP].[@-Calculo-IV].[All]" dimensionUniqueName="[Representantes-ESP]" displayFolder="" count="0" memberValueDatatype="11" unbalanced="0"/>
    <cacheHierarchy uniqueName="[Representantes-HSP].[#PK-Email-Representante-HSP]" caption="#PK-Email-Representante-HSP" attribute="1" defaultMemberUniqueName="[Representantes-HSP].[#PK-Email-Representante-HSP].[All]" allUniqueName="[Representantes-HSP].[#PK-Email-Representante-HSP].[All]" dimensionUniqueName="[Representantes-HSP]" displayFolder="" count="0" memberValueDatatype="130" unbalanced="0"/>
    <cacheHierarchy uniqueName="[Representantes-HSP].[Representante-HSP]" caption="Representante-HSP" attribute="1" defaultMemberUniqueName="[Representantes-HSP].[Representante-HSP].[All]" allUniqueName="[Representantes-HSP].[Representante-HSP].[All]" dimensionUniqueName="[Representantes-HSP]" displayFolder="" count="0" memberValueDatatype="130" unbalanced="0"/>
    <cacheHierarchy uniqueName="[Representantes-HSP].[#FK-Email-Gerente]" caption="#FK-Email-Gerente" attribute="1" defaultMemberUniqueName="[Representantes-HSP].[#FK-Email-Gerente].[All]" allUniqueName="[Representantes-HSP].[#FK-Email-Gerente].[All]" dimensionUniqueName="[Representantes-HSP]" displayFolder="" count="0" memberValueDatatype="130" unbalanced="0"/>
    <cacheHierarchy uniqueName="[Representantes-HSP].[Gerente]" caption="Gerente" attribute="1" defaultMemberUniqueName="[Representantes-HSP].[Gerente].[All]" allUniqueName="[Representantes-HSP].[Gerente].[All]" dimensionUniqueName="[Representantes-HSP]" displayFolder="" count="0" memberValueDatatype="130" unbalanced="0"/>
    <cacheHierarchy uniqueName="[Representantes-HSP].[@-Ativo]" caption="@-Ativo" attribute="1" defaultMemberUniqueName="[Representantes-HSP].[@-Ativo].[All]" allUniqueName="[Representantes-HSP].[@-Ativo].[All]" dimensionUniqueName="[Representantes-HSP]" displayFolder="" count="0" memberValueDatatype="11" unbalanced="0"/>
    <cacheHierarchy uniqueName="[Representantes-HSP].[@-Calculo-IV]" caption="@-Calculo-IV" attribute="1" defaultMemberUniqueName="[Representantes-HSP].[@-Calculo-IV].[All]" allUniqueName="[Representantes-HSP].[@-Calculo-IV].[All]" dimensionUniqueName="[Representantes-HSP]" displayFolder="" count="0" memberValueDatatype="11" unbalanced="0"/>
    <cacheHierarchy uniqueName="[Representantes-IV].[#PK-Email-Representante]" caption="#PK-Email-Representante" attribute="1" defaultMemberUniqueName="[Representantes-IV].[#PK-Email-Representante].[All]" allUniqueName="[Representantes-IV].[#PK-Email-Representante].[All]" dimensionUniqueName="[Representantes-IV]" displayFolder="" count="0" memberValueDatatype="130" unbalanced="0"/>
    <cacheHierarchy uniqueName="[Representantes-IV].[Representante]" caption="Representante" attribute="1" defaultMemberUniqueName="[Representantes-IV].[Representante].[All]" allUniqueName="[Representantes-IV].[Representante].[All]" dimensionUniqueName="[Representantes-IV]" displayFolder="" count="0" memberValueDatatype="130" unbalanced="0"/>
    <cacheHierarchy uniqueName="[Representantes-IV].[@-Calculo-IV]" caption="@-Calculo-IV" attribute="1" defaultMemberUniqueName="[Representantes-IV].[@-Calculo-IV].[All]" allUniqueName="[Representantes-IV].[@-Calculo-IV].[All]" dimensionUniqueName="[Representantes-IV]" displayFolder="" count="0" memberValueDatatype="11" unbalanced="0"/>
    <cacheHierarchy uniqueName="[Representantes-IV].[@-HSP]" caption="@-HSP" attribute="1" defaultMemberUniqueName="[Representantes-IV].[@-HSP].[All]" allUniqueName="[Representantes-IV].[@-HSP].[All]" dimensionUniqueName="[Representantes-IV]" displayFolder="" count="0" memberValueDatatype="11" unbalanced="0"/>
    <cacheHierarchy uniqueName="[Representantes-IV].[@-ESP]" caption="@-ESP" attribute="1" defaultMemberUniqueName="[Representantes-IV].[@-ESP].[All]" allUniqueName="[Representantes-IV].[@-ESP].[All]" dimensionUniqueName="[Representantes-IV]" displayFolder="" count="0" memberValueDatatype="11" unbalanced="0"/>
    <cacheHierarchy uniqueName="[Representantes-IV].[@-EMH]" caption="@-EMH" attribute="1" defaultMemberUniqueName="[Representantes-IV].[@-EMH].[All]" allUniqueName="[Representantes-IV].[@-EMH].[All]" dimensionUniqueName="[Representantes-IV]" displayFolder="" count="0" memberValueDatatype="11" unbalanced="0"/>
    <cacheHierarchy uniqueName="[Valores-Gerentes].[#PK-Cobertura]" caption="#PK-Cobertura" attribute="1" defaultMemberUniqueName="[Valores-Gerentes].[#PK-Cobertura].[All]" allUniqueName="[Valores-Gerentes].[#PK-Cobertura].[All]" dimensionUniqueName="[Valores-Gerentes]" displayFolder="" count="0" memberValueDatatype="5" unbalanced="0"/>
    <cacheHierarchy uniqueName="[Valores-Gerentes].[Valor-Base]" caption="Valor-Base" attribute="1" defaultMemberUniqueName="[Valores-Gerentes].[Valor-Base].[All]" allUniqueName="[Valores-Gerentes].[Valor-Base].[All]" dimensionUniqueName="[Valores-Gerentes]" displayFolder="" count="0" memberValueDatatype="5" unbalanced="0"/>
    <cacheHierarchy uniqueName="[Valores-Gerentes].[05.00%-Demanda-BERINERT]" caption="05.00%-Demanda-BERINERT" attribute="1" defaultMemberUniqueName="[Valores-Gerentes].[05.00%-Demanda-BERINERT].[All]" allUniqueName="[Valores-Gerentes].[05.00%-Demanda-BERINERT].[All]" dimensionUniqueName="[Valores-Gerentes]" displayFolder="" count="0" memberValueDatatype="5" unbalanced="0"/>
    <cacheHierarchy uniqueName="[Valores-Gerentes].[02.50%-Demanda-BERIPLEX]" caption="02.50%-Demanda-BERIPLEX" attribute="1" defaultMemberUniqueName="[Valores-Gerentes].[02.50%-Demanda-BERIPLEX].[All]" allUniqueName="[Valores-Gerentes].[02.50%-Demanda-BERIPLEX].[All]" dimensionUniqueName="[Valores-Gerentes]" displayFolder="" count="0" memberValueDatatype="5" unbalanced="0"/>
    <cacheHierarchy uniqueName="[Valores-Gerentes].[02.50%-Demanda-HAEMO]" caption="02.50%-Demanda-HAEMO" attribute="1" defaultMemberUniqueName="[Valores-Gerentes].[02.50%-Demanda-HAEMO].[All]" allUniqueName="[Valores-Gerentes].[02.50%-Demanda-HAEMO].[All]" dimensionUniqueName="[Valores-Gerentes]" displayFolder="" count="0" memberValueDatatype="5" unbalanced="0"/>
    <cacheHierarchy uniqueName="[Valores-Gerentes].[10.00%-Demanda-HIZENTRA]" caption="10.00%-Demanda-HIZENTRA" attribute="1" defaultMemberUniqueName="[Valores-Gerentes].[10.00%-Demanda-HIZENTRA].[All]" allUniqueName="[Valores-Gerentes].[10.00%-Demanda-HIZENTRA].[All]" dimensionUniqueName="[Valores-Gerentes]" displayFolder="" count="0" memberValueDatatype="5" unbalanced="0"/>
    <cacheHierarchy uniqueName="[Valores-Gerentes].[05.00%-Demanda-PRIVIGEN]" caption="05.00%-Demanda-PRIVIGEN" attribute="1" defaultMemberUniqueName="[Valores-Gerentes].[05.00%-Demanda-PRIVIGEN].[All]" allUniqueName="[Valores-Gerentes].[05.00%-Demanda-PRIVIGEN].[All]" dimensionUniqueName="[Valores-Gerentes]" displayFolder="" count="0" memberValueDatatype="5" unbalanced="0"/>
    <cacheHierarchy uniqueName="[Valores-Gerentes].[05.00%-Venda]" caption="05.00%-Venda" attribute="1" defaultMemberUniqueName="[Valores-Gerentes].[05.00%-Venda].[All]" allUniqueName="[Valores-Gerentes].[05.00%-Venda].[All]" dimensionUniqueName="[Valores-Gerentes]" displayFolder="" count="0" memberValueDatatype="5" unbalanced="0"/>
    <cacheHierarchy uniqueName="[Valores-Gerentes].[10.00%-Visitas]" caption="10.00%-Visitas" attribute="1" defaultMemberUniqueName="[Valores-Gerentes].[10.00%-Visitas].[All]" allUniqueName="[Valores-Gerentes].[10.00%-Visitas].[All]" dimensionUniqueName="[Valores-Gerentes]" displayFolder="" count="0" memberValueDatatype="5" unbalanced="0"/>
    <cacheHierarchy uniqueName="[Valores-Gerentes].[10.00%-Connect-MInd]" caption="10.00%-Connect-MInd" attribute="1" defaultMemberUniqueName="[Valores-Gerentes].[10.00%-Connect-MInd].[All]" allUniqueName="[Valores-Gerentes].[10.00%-Connect-MInd].[All]" dimensionUniqueName="[Valores-Gerentes]" displayFolder="" count="0" memberValueDatatype="5" unbalanced="0"/>
    <cacheHierarchy uniqueName="[Valores-Gerentes].[30.00%-Gerente-Contas]" caption="30.00%-Gerente-Contas" attribute="1" defaultMemberUniqueName="[Valores-Gerentes].[30.00%-Gerente-Contas].[All]" allUniqueName="[Valores-Gerentes].[30.00%-Gerente-Contas].[All]" dimensionUniqueName="[Valores-Gerentes]" displayFolder="" count="0" memberValueDatatype="5" unbalanced="0"/>
    <cacheHierarchy uniqueName="[Valores-Gerentes].[10.00%-Plateau]" caption="10.00%-Plateau" attribute="1" defaultMemberUniqueName="[Valores-Gerentes].[10.00%-Plateau].[All]" allUniqueName="[Valores-Gerentes].[10.00%-Plateau].[All]" dimensionUniqueName="[Valores-Gerentes]" displayFolder="" count="0" memberValueDatatype="5" unbalanced="0"/>
    <cacheHierarchy uniqueName="[Valores-Gerentes].[10.00%-Compliance]" caption="10.00%-Compliance" attribute="1" defaultMemberUniqueName="[Valores-Gerentes].[10.00%-Compliance].[All]" allUniqueName="[Valores-Gerentes].[10.00%-Compliance].[All]" dimensionUniqueName="[Valores-Gerentes]" displayFolder="" count="0" memberValueDatatype="5" unbalanced="0"/>
    <cacheHierarchy uniqueName="[Valores-Gerentes].[Check]" caption="Check" attribute="1" defaultMemberUniqueName="[Valores-Gerentes].[Check].[All]" allUniqueName="[Valores-Gerentes].[Check].[All]" dimensionUniqueName="[Valores-Gerentes]" displayFolder="" count="0" memberValueDatatype="130" unbalanced="0"/>
    <cacheHierarchy uniqueName="[Valores-Representantes-EMH].[#PK-Cobertura]" caption="#PK-Cobertura" attribute="1" defaultMemberUniqueName="[Valores-Representantes-EMH].[#PK-Cobertura].[All]" allUniqueName="[Valores-Representantes-EMH].[#PK-Cobertura].[All]" dimensionUniqueName="[Valores-Representantes-EMH]" displayFolder="" count="0" memberValueDatatype="5" unbalanced="0"/>
    <cacheHierarchy uniqueName="[Valores-Representantes-EMH].[Valor-Base]" caption="Valor-Base" attribute="1" defaultMemberUniqueName="[Valores-Representantes-EMH].[Valor-Base].[All]" allUniqueName="[Valores-Representantes-EMH].[Valor-Base].[All]" dimensionUniqueName="[Valores-Representantes-EMH]" displayFolder="" count="0" memberValueDatatype="5" unbalanced="0"/>
    <cacheHierarchy uniqueName="[Valores-Representantes-EMH].[05.00%-Demanda-BERINERT]" caption="05.00%-Demanda-BERINERT" attribute="1" defaultMemberUniqueName="[Valores-Representantes-EMH].[05.00%-Demanda-BERINERT].[All]" allUniqueName="[Valores-Representantes-EMH].[05.00%-Demanda-BERINERT].[All]" dimensionUniqueName="[Valores-Representantes-EMH]" displayFolder="" count="0" memberValueDatatype="5" unbalanced="0"/>
    <cacheHierarchy uniqueName="[Valores-Representantes-EMH].[02.50%-Demanda-BERIPLEX]" caption="02.50%-Demanda-BERIPLEX" attribute="1" defaultMemberUniqueName="[Valores-Representantes-EMH].[02.50%-Demanda-BERIPLEX].[All]" allUniqueName="[Valores-Representantes-EMH].[02.50%-Demanda-BERIPLEX].[All]" dimensionUniqueName="[Valores-Representantes-EMH]" displayFolder="" count="0" memberValueDatatype="5" unbalanced="0"/>
    <cacheHierarchy uniqueName="[Valores-Representantes-EMH].[02.50%-Demanda-HAEMO]" caption="02.50%-Demanda-HAEMO" attribute="1" defaultMemberUniqueName="[Valores-Representantes-EMH].[02.50%-Demanda-HAEMO].[All]" allUniqueName="[Valores-Representantes-EMH].[02.50%-Demanda-HAEMO].[All]" dimensionUniqueName="[Valores-Representantes-EMH]" displayFolder="" count="0" memberValueDatatype="5" unbalanced="0"/>
    <cacheHierarchy uniqueName="[Valores-Representantes-EMH].[10.00%-Demanda-HIZENTRA]" caption="10.00%-Demanda-HIZENTRA" attribute="1" defaultMemberUniqueName="[Valores-Representantes-EMH].[10.00%-Demanda-HIZENTRA].[All]" allUniqueName="[Valores-Representantes-EMH].[10.00%-Demanda-HIZENTRA].[All]" dimensionUniqueName="[Valores-Representantes-EMH]" displayFolder="" count="0" memberValueDatatype="5" unbalanced="0"/>
    <cacheHierarchy uniqueName="[Valores-Representantes-EMH].[05.00%-Demanda-PRIVIGEN]" caption="05.00%-Demanda-PRIVIGEN" attribute="1" defaultMemberUniqueName="[Valores-Representantes-EMH].[05.00%-Demanda-PRIVIGEN].[All]" allUniqueName="[Valores-Representantes-EMH].[05.00%-Demanda-PRIVIGEN].[All]" dimensionUniqueName="[Valores-Representantes-EMH]" displayFolder="" count="0" memberValueDatatype="5" unbalanced="0"/>
    <cacheHierarchy uniqueName="[Valores-Representantes-EMH].[05.00%-Venda]" caption="05.00%-Venda" attribute="1" defaultMemberUniqueName="[Valores-Representantes-EMH].[05.00%-Venda].[All]" allUniqueName="[Valores-Representantes-EMH].[05.00%-Venda].[All]" dimensionUniqueName="[Valores-Representantes-EMH]" displayFolder="" count="0" memberValueDatatype="5" unbalanced="0"/>
    <cacheHierarchy uniqueName="[Valores-Representantes-EMH].[10.00%-Visitas]" caption="10.00%-Visitas" attribute="1" defaultMemberUniqueName="[Valores-Representantes-EMH].[10.00%-Visitas].[All]" allUniqueName="[Valores-Representantes-EMH].[10.00%-Visitas].[All]" dimensionUniqueName="[Valores-Representantes-EMH]" displayFolder="" count="0" memberValueDatatype="5" unbalanced="0"/>
    <cacheHierarchy uniqueName="[Valores-Representantes-EMH].[10.00%-Connect-MInd]" caption="10.00%-Connect-MInd" attribute="1" defaultMemberUniqueName="[Valores-Representantes-EMH].[10.00%-Connect-MInd].[All]" allUniqueName="[Valores-Representantes-EMH].[10.00%-Connect-MInd].[All]" dimensionUniqueName="[Valores-Representantes-EMH]" displayFolder="" count="0" memberValueDatatype="5" unbalanced="0"/>
    <cacheHierarchy uniqueName="[Valores-Representantes-EMH].[30.00%-Gerente-Contas]" caption="30.00%-Gerente-Contas" attribute="1" defaultMemberUniqueName="[Valores-Representantes-EMH].[30.00%-Gerente-Contas].[All]" allUniqueName="[Valores-Representantes-EMH].[30.00%-Gerente-Contas].[All]" dimensionUniqueName="[Valores-Representantes-EMH]" displayFolder="" count="0" memberValueDatatype="5" unbalanced="0"/>
    <cacheHierarchy uniqueName="[Valores-Representantes-EMH].[10.00%-Plateau]" caption="10.00%-Plateau" attribute="1" defaultMemberUniqueName="[Valores-Representantes-EMH].[10.00%-Plateau].[All]" allUniqueName="[Valores-Representantes-EMH].[10.00%-Plateau].[All]" dimensionUniqueName="[Valores-Representantes-EMH]" displayFolder="" count="0" memberValueDatatype="5" unbalanced="0"/>
    <cacheHierarchy uniqueName="[Valores-Representantes-EMH].[10.00%-Compliance]" caption="10.00%-Compliance" attribute="1" defaultMemberUniqueName="[Valores-Representantes-EMH].[10.00%-Compliance].[All]" allUniqueName="[Valores-Representantes-EMH].[10.00%-Compliance].[All]" dimensionUniqueName="[Valores-Representantes-EMH]" displayFolder="" count="0" memberValueDatatype="5" unbalanced="0"/>
    <cacheHierarchy uniqueName="[Valores-Representantes-EMH].[Check]" caption="Check" attribute="1" defaultMemberUniqueName="[Valores-Representantes-EMH].[Check].[All]" allUniqueName="[Valores-Representantes-EMH].[Check].[All]" dimensionUniqueName="[Valores-Representantes-EMH]" displayFolder="" count="0" memberValueDatatype="130" unbalanced="0"/>
    <cacheHierarchy uniqueName="[Valores-Representantes-ESP].[#PK-Cobertura]" caption="#PK-Cobertura" attribute="1" defaultMemberUniqueName="[Valores-Representantes-ESP].[#PK-Cobertura].[All]" allUniqueName="[Valores-Representantes-ESP].[#PK-Cobertura].[All]" dimensionUniqueName="[Valores-Representantes-ESP]" displayFolder="" count="0" memberValueDatatype="5" unbalanced="0"/>
    <cacheHierarchy uniqueName="[Valores-Representantes-ESP].[Valor-Base]" caption="Valor-Base" attribute="1" defaultMemberUniqueName="[Valores-Representantes-ESP].[Valor-Base].[All]" allUniqueName="[Valores-Representantes-ESP].[Valor-Base].[All]" dimensionUniqueName="[Valores-Representantes-ESP]" displayFolder="" count="0" memberValueDatatype="5" unbalanced="0"/>
    <cacheHierarchy uniqueName="[Valores-Representantes-ESP].[05.00%-Demanda-BERINERT]" caption="05.00%-Demanda-BERINERT" attribute="1" defaultMemberUniqueName="[Valores-Representantes-ESP].[05.00%-Demanda-BERINERT].[All]" allUniqueName="[Valores-Representantes-ESP].[05.00%-Demanda-BERINERT].[All]" dimensionUniqueName="[Valores-Representantes-ESP]" displayFolder="" count="0" memberValueDatatype="5" unbalanced="0"/>
    <cacheHierarchy uniqueName="[Valores-Representantes-ESP].[00.00%-Demanda-BERIPLEX]" caption="00.00%-Demanda-BERIPLEX" attribute="1" defaultMemberUniqueName="[Valores-Representantes-ESP].[00.00%-Demanda-BERIPLEX].[All]" allUniqueName="[Valores-Representantes-ESP].[00.00%-Demanda-BERIPLEX].[All]" dimensionUniqueName="[Valores-Representantes-ESP]" displayFolder="" count="0" memberValueDatatype="5" unbalanced="0"/>
    <cacheHierarchy uniqueName="[Valores-Representantes-ESP].[00.00%-Demanda-HAEMO]" caption="00.00%-Demanda-HAEMO" attribute="1" defaultMemberUniqueName="[Valores-Representantes-ESP].[00.00%-Demanda-HAEMO].[All]" allUniqueName="[Valores-Representantes-ESP].[00.00%-Demanda-HAEMO].[All]" dimensionUniqueName="[Valores-Representantes-ESP]" displayFolder="" count="0" memberValueDatatype="5" unbalanced="0"/>
    <cacheHierarchy uniqueName="[Valores-Representantes-ESP].[15.00%-Demanda-HIZENTRA]" caption="15.00%-Demanda-HIZENTRA" attribute="1" defaultMemberUniqueName="[Valores-Representantes-ESP].[15.00%-Demanda-HIZENTRA].[All]" allUniqueName="[Valores-Representantes-ESP].[15.00%-Demanda-HIZENTRA].[All]" dimensionUniqueName="[Valores-Representantes-ESP]" displayFolder="" count="0" memberValueDatatype="5" unbalanced="0"/>
    <cacheHierarchy uniqueName="[Valores-Representantes-ESP].[05.00%-Demanda-PRIVIGEN]" caption="05.00%-Demanda-PRIVIGEN" attribute="1" defaultMemberUniqueName="[Valores-Representantes-ESP].[05.00%-Demanda-PRIVIGEN].[All]" allUniqueName="[Valores-Representantes-ESP].[05.00%-Demanda-PRIVIGEN].[All]" dimensionUniqueName="[Valores-Representantes-ESP]" displayFolder="" count="0" memberValueDatatype="5" unbalanced="0"/>
    <cacheHierarchy uniqueName="[Valores-Representantes-ESP].[05.00%-Venda]" caption="05.00%-Venda" attribute="1" defaultMemberUniqueName="[Valores-Representantes-ESP].[05.00%-Venda].[All]" allUniqueName="[Valores-Representantes-ESP].[05.00%-Venda].[All]" dimensionUniqueName="[Valores-Representantes-ESP]" displayFolder="" count="0" memberValueDatatype="5" unbalanced="0"/>
    <cacheHierarchy uniqueName="[Valores-Representantes-ESP].[10.00%-Visitas]" caption="10.00%-Visitas" attribute="1" defaultMemberUniqueName="[Valores-Representantes-ESP].[10.00%-Visitas].[All]" allUniqueName="[Valores-Representantes-ESP].[10.00%-Visitas].[All]" dimensionUniqueName="[Valores-Representantes-ESP]" displayFolder="" count="0" memberValueDatatype="5" unbalanced="0"/>
    <cacheHierarchy uniqueName="[Valores-Representantes-ESP].[10.00%-Connect-MInd]" caption="10.00%-Connect-MInd" attribute="1" defaultMemberUniqueName="[Valores-Representantes-ESP].[10.00%-Connect-MInd].[All]" allUniqueName="[Valores-Representantes-ESP].[10.00%-Connect-MInd].[All]" dimensionUniqueName="[Valores-Representantes-ESP]" displayFolder="" count="0" memberValueDatatype="5" unbalanced="0"/>
    <cacheHierarchy uniqueName="[Valores-Representantes-ESP].[30.00%-Gerente-Contas]" caption="30.00%-Gerente-Contas" attribute="1" defaultMemberUniqueName="[Valores-Representantes-ESP].[30.00%-Gerente-Contas].[All]" allUniqueName="[Valores-Representantes-ESP].[30.00%-Gerente-Contas].[All]" dimensionUniqueName="[Valores-Representantes-ESP]" displayFolder="" count="0" memberValueDatatype="5" unbalanced="0"/>
    <cacheHierarchy uniqueName="[Valores-Representantes-ESP].[10.00%-Plateau]" caption="10.00%-Plateau" attribute="1" defaultMemberUniqueName="[Valores-Representantes-ESP].[10.00%-Plateau].[All]" allUniqueName="[Valores-Representantes-ESP].[10.00%-Plateau].[All]" dimensionUniqueName="[Valores-Representantes-ESP]" displayFolder="" count="0" memberValueDatatype="5" unbalanced="0"/>
    <cacheHierarchy uniqueName="[Valores-Representantes-ESP].[10.00%-Compliance]" caption="10.00%-Compliance" attribute="1" defaultMemberUniqueName="[Valores-Representantes-ESP].[10.00%-Compliance].[All]" allUniqueName="[Valores-Representantes-ESP].[10.00%-Compliance].[All]" dimensionUniqueName="[Valores-Representantes-ESP]" displayFolder="" count="0" memberValueDatatype="5" unbalanced="0"/>
    <cacheHierarchy uniqueName="[Valores-Representantes-ESP].[Check]" caption="Check" attribute="1" defaultMemberUniqueName="[Valores-Representantes-ESP].[Check].[All]" allUniqueName="[Valores-Representantes-ESP].[Check].[All]" dimensionUniqueName="[Valores-Representantes-ESP]" displayFolder="" count="0" memberValueDatatype="130" unbalanced="0"/>
    <cacheHierarchy uniqueName="[Valores-Representantes-HSP].[#PK-Cobertura]" caption="#PK-Cobertura" attribute="1" defaultMemberUniqueName="[Valores-Representantes-HSP].[#PK-Cobertura].[All]" allUniqueName="[Valores-Representantes-HSP].[#PK-Cobertura].[All]" dimensionUniqueName="[Valores-Representantes-HSP]" displayFolder="" count="0" memberValueDatatype="5" unbalanced="0"/>
    <cacheHierarchy uniqueName="[Valores-Representantes-HSP].[Valor-Base]" caption="Valor-Base" attribute="1" defaultMemberUniqueName="[Valores-Representantes-HSP].[Valor-Base].[All]" allUniqueName="[Valores-Representantes-HSP].[Valor-Base].[All]" dimensionUniqueName="[Valores-Representantes-HSP]" displayFolder="" count="0" memberValueDatatype="5" unbalanced="0"/>
    <cacheHierarchy uniqueName="[Valores-Representantes-HSP].[00.00%-Demanda-BERINERT]" caption="00.00%-Demanda-BERINERT" attribute="1" defaultMemberUniqueName="[Valores-Representantes-HSP].[00.00%-Demanda-BERINERT].[All]" allUniqueName="[Valores-Representantes-HSP].[00.00%-Demanda-BERINERT].[All]" dimensionUniqueName="[Valores-Representantes-HSP]" displayFolder="" count="0" memberValueDatatype="5" unbalanced="0"/>
    <cacheHierarchy uniqueName="[Valores-Representantes-HSP].[07.50%-Demanda-BERIPLEX]" caption="07.50%-Demanda-BERIPLEX" attribute="1" defaultMemberUniqueName="[Valores-Representantes-HSP].[07.50%-Demanda-BERIPLEX].[All]" allUniqueName="[Valores-Representantes-HSP].[07.50%-Demanda-BERIPLEX].[All]" dimensionUniqueName="[Valores-Representantes-HSP]" displayFolder="" count="0" memberValueDatatype="5" unbalanced="0"/>
    <cacheHierarchy uniqueName="[Valores-Representantes-HSP].[07.50%-Demanda-HAEMO]" caption="07.50%-Demanda-HAEMO" attribute="1" defaultMemberUniqueName="[Valores-Representantes-HSP].[07.50%-Demanda-HAEMO].[All]" allUniqueName="[Valores-Representantes-HSP].[07.50%-Demanda-HAEMO].[All]" dimensionUniqueName="[Valores-Representantes-HSP]" displayFolder="" count="0" memberValueDatatype="5" unbalanced="0"/>
    <cacheHierarchy uniqueName="[Valores-Representantes-HSP].[00.00%-Demanda-HIZENTRA]" caption="00.00%-Demanda-HIZENTRA" attribute="1" defaultMemberUniqueName="[Valores-Representantes-HSP].[00.00%-Demanda-HIZENTRA].[All]" allUniqueName="[Valores-Representantes-HSP].[00.00%-Demanda-HIZENTRA].[All]" dimensionUniqueName="[Valores-Representantes-HSP]" displayFolder="" count="0" memberValueDatatype="5" unbalanced="0"/>
    <cacheHierarchy uniqueName="[Valores-Representantes-HSP].[10.00%-Demanda-PRIVIGEN]" caption="10.00%-Demanda-PRIVIGEN" attribute="1" defaultMemberUniqueName="[Valores-Representantes-HSP].[10.00%-Demanda-PRIVIGEN].[All]" allUniqueName="[Valores-Representantes-HSP].[10.00%-Demanda-PRIVIGEN].[All]" dimensionUniqueName="[Valores-Representantes-HSP]" displayFolder="" count="0" memberValueDatatype="5" unbalanced="0"/>
    <cacheHierarchy uniqueName="[Valores-Representantes-HSP].[05.00%-Venda]" caption="05.00%-Venda" attribute="1" defaultMemberUniqueName="[Valores-Representantes-HSP].[05.00%-Venda].[All]" allUniqueName="[Valores-Representantes-HSP].[05.00%-Venda].[All]" dimensionUniqueName="[Valores-Representantes-HSP]" displayFolder="" count="0" memberValueDatatype="5" unbalanced="0"/>
    <cacheHierarchy uniqueName="[Valores-Representantes-HSP].[10.00%-Visitas]" caption="10.00%-Visitas" attribute="1" defaultMemberUniqueName="[Valores-Representantes-HSP].[10.00%-Visitas].[All]" allUniqueName="[Valores-Representantes-HSP].[10.00%-Visitas].[All]" dimensionUniqueName="[Valores-Representantes-HSP]" displayFolder="" count="0" memberValueDatatype="5" unbalanced="0"/>
    <cacheHierarchy uniqueName="[Valores-Representantes-HSP].[10.00%-Connect-MInd]" caption="10.00%-Connect-MInd" attribute="1" defaultMemberUniqueName="[Valores-Representantes-HSP].[10.00%-Connect-MInd].[All]" allUniqueName="[Valores-Representantes-HSP].[10.00%-Connect-MInd].[All]" dimensionUniqueName="[Valores-Representantes-HSP]" displayFolder="" count="0" memberValueDatatype="5" unbalanced="0"/>
    <cacheHierarchy uniqueName="[Valores-Representantes-HSP].[30.00%-Gerente-Contas]" caption="30.00%-Gerente-Contas" attribute="1" defaultMemberUniqueName="[Valores-Representantes-HSP].[30.00%-Gerente-Contas].[All]" allUniqueName="[Valores-Representantes-HSP].[30.00%-Gerente-Contas].[All]" dimensionUniqueName="[Valores-Representantes-HSP]" displayFolder="" count="0" memberValueDatatype="5" unbalanced="0"/>
    <cacheHierarchy uniqueName="[Valores-Representantes-HSP].[10.00%-Plateau]" caption="10.00%-Plateau" attribute="1" defaultMemberUniqueName="[Valores-Representantes-HSP].[10.00%-Plateau].[All]" allUniqueName="[Valores-Representantes-HSP].[10.00%-Plateau].[All]" dimensionUniqueName="[Valores-Representantes-HSP]" displayFolder="" count="0" memberValueDatatype="5" unbalanced="0"/>
    <cacheHierarchy uniqueName="[Valores-Representantes-HSP].[10.00%-Compliance]" caption="10.00%-Compliance" attribute="1" defaultMemberUniqueName="[Valores-Representantes-HSP].[10.00%-Compliance].[All]" allUniqueName="[Valores-Representantes-HSP].[10.00%-Compliance].[All]" dimensionUniqueName="[Valores-Representantes-HSP]" displayFolder="" count="0" memberValueDatatype="5" unbalanced="0"/>
    <cacheHierarchy uniqueName="[Valores-Representantes-HSP].[Check]" caption="Check" attribute="1" defaultMemberUniqueName="[Valores-Representantes-HSP].[Check].[All]" allUniqueName="[Valores-Representantes-HSP].[Check].[All]" dimensionUniqueName="[Valores-Representantes-HSP]" displayFolder="" count="0" memberValueDatatype="130" unbalanced="0"/>
    <cacheHierarchy uniqueName="[Venda].[#FK-AnoMes-Unv]" caption="#FK-AnoMes-Unv" attribute="1" defaultMemberUniqueName="[Venda].[#FK-AnoMes-Unv].[All]" allUniqueName="[Venda].[#FK-AnoMes-Unv].[All]" dimensionUniqueName="[Venda]" displayFolder="" count="0" memberValueDatatype="5" unbalanced="0"/>
    <cacheHierarchy uniqueName="[Venda].[#FK-Cod-Linha]" caption="#FK-Cod-Linha" attribute="1" defaultMemberUniqueName="[Venda].[#FK-Cod-Linha].[All]" allUniqueName="[Venda].[#FK-Cod-Linha].[All]" dimensionUniqueName="[Venda]" displayFolder="" count="0" memberValueDatatype="5" unbalanced="0"/>
    <cacheHierarchy uniqueName="[Venda].[#FK-Cod-Produto]" caption="#FK-Cod-Produto" attribute="1" defaultMemberUniqueName="[Venda].[#FK-Cod-Produto].[All]" allUniqueName="[Venda].[#FK-Cod-Produto].[All]" dimensionUniqueName="[Venda]" displayFolder="" count="0" memberValueDatatype="130" unbalanced="0"/>
    <cacheHierarchy uniqueName="[Venda].[#FK-CNPJ-Estabelecimento]" caption="#FK-CNPJ-Estabelecimento" attribute="1" defaultMemberUniqueName="[Venda].[#FK-CNPJ-Estabelecimento].[All]" allUniqueName="[Venda].[#FK-CNPJ-Estabelecimento].[All]" dimensionUniqueName="[Venda]" displayFolder="" count="0" memberValueDatatype="5" unbalanced="0"/>
    <cacheHierarchy uniqueName="[Venda].[@-Ministerio]" caption="@-Ministerio" attribute="1" defaultMemberUniqueName="[Venda].[@-Ministerio].[All]" allUniqueName="[Venda].[@-Ministerio].[All]" dimensionUniqueName="[Venda]" displayFolder="" count="0" memberValueDatatype="11" unbalanced="0"/>
    <cacheHierarchy uniqueName="[Venda].[@-Distribuidor]" caption="@-Distribuidor" attribute="1" defaultMemberUniqueName="[Venda].[@-Distribuidor].[All]" allUniqueName="[Venda].[@-Distribuidor].[All]" dimensionUniqueName="[Venda]" displayFolder="" count="0" memberValueDatatype="11" unbalanced="0"/>
    <cacheHierarchy uniqueName="[Venda].[@-IV-Venda]" caption="@-IV-Venda" attribute="1" defaultMemberUniqueName="[Venda].[@-IV-Venda].[All]" allUniqueName="[Venda].[@-IV-Venda].[All]" dimensionUniqueName="[Venda]" displayFolder="" count="0" memberValueDatatype="11" unbalanced="0"/>
    <cacheHierarchy uniqueName="[Venda].[#FK-Email-Gerente]" caption="#FK-Email-Gerente" attribute="1" defaultMemberUniqueName="[Venda].[#FK-Email-Gerente].[All]" allUniqueName="[Venda].[#FK-Email-Gerente].[All]" dimensionUniqueName="[Venda]" displayFolder="" count="0" memberValueDatatype="130" unbalanced="0"/>
    <cacheHierarchy uniqueName="[Venda].[#FK-Email-Representante]" caption="#FK-Email-Representante" attribute="1" defaultMemberUniqueName="[Venda].[#FK-Email-Representante].[All]" allUniqueName="[Venda].[#FK-Email-Representante].[All]" dimensionUniqueName="[Venda]" displayFolder="" count="0" memberValueDatatype="130" unbalanced="0"/>
    <cacheHierarchy uniqueName="[Venda].[Venda-UN]" caption="Venda-UN" attribute="1" defaultMemberUniqueName="[Venda].[Venda-UN].[All]" allUniqueName="[Venda].[Venda-UN].[All]" dimensionUniqueName="[Venda]" displayFolder="" count="0" memberValueDatatype="5" unbalanced="0"/>
    <cacheHierarchy uniqueName="[Venda].[Venda-EQ]" caption="Venda-EQ" attribute="1" defaultMemberUniqueName="[Venda].[Venda-EQ].[All]" allUniqueName="[Venda].[Venda-EQ].[All]" dimensionUniqueName="[Venda]" displayFolder="" count="0" memberValueDatatype="5" unbalanced="0"/>
    <cacheHierarchy uniqueName="[Venda].[Venda-BRL]" caption="Venda-BRL" attribute="1" defaultMemberUniqueName="[Venda].[Venda-BRL].[All]" allUniqueName="[Venda].[Venda-BRL].[All]" dimensionUniqueName="[Venda]" displayFolder="" count="0" memberValueDatatype="5" unbalanced="0"/>
    <cacheHierarchy uniqueName="[Venda].[Venda-IV]" caption="Venda-IV" attribute="1" defaultMemberUniqueName="[Venda].[Venda-IV].[All]" allUniqueName="[Venda].[Venda-IV].[All]" dimensionUniqueName="[Venda]" displayFolder="" count="0" memberValueDatatype="5" unbalanced="0"/>
    <cacheHierarchy uniqueName="[Visitas-Outros].[#FK-AnoMes-Unv]" caption="#FK-AnoMes-Unv" attribute="1" defaultMemberUniqueName="[Visitas-Outros].[#FK-AnoMes-Unv].[All]" allUniqueName="[Visitas-Outros].[#FK-AnoMes-Unv].[All]" dimensionUniqueName="[Visitas-Outros]" displayFolder="" count="0" memberValueDatatype="5" unbalanced="0"/>
    <cacheHierarchy uniqueName="[Visitas-Outros].[#FK-Email-Gerente]" caption="#FK-Email-Gerente" attribute="1" defaultMemberUniqueName="[Visitas-Outros].[#FK-Email-Gerente].[All]" allUniqueName="[Visitas-Outros].[#FK-Email-Gerente].[All]" dimensionUniqueName="[Visitas-Outros]" displayFolder="" count="0" memberValueDatatype="130" unbalanced="0"/>
    <cacheHierarchy uniqueName="[Visitas-Outros].[#FK-Email-Representante]" caption="#FK-Email-Representante" attribute="1" defaultMemberUniqueName="[Visitas-Outros].[#FK-Email-Representante].[All]" allUniqueName="[Visitas-Outros].[#FK-Email-Representante].[All]" dimensionUniqueName="[Visitas-Outros]" displayFolder="" count="0" memberValueDatatype="130" unbalanced="0"/>
    <cacheHierarchy uniqueName="[Visitas-Outros].[#FK-Email-Representante_ESP]" caption="#FK-Email-Representante_ESP" attribute="1" defaultMemberUniqueName="[Visitas-Outros].[#FK-Email-Representante_ESP].[All]" allUniqueName="[Visitas-Outros].[#FK-Email-Representante_ESP].[All]" dimensionUniqueName="[Visitas-Outros]" displayFolder="" count="0" memberValueDatatype="130" unbalanced="0"/>
    <cacheHierarchy uniqueName="[Visitas-Outros].[#FK-Email-Representante_HSP]" caption="#FK-Email-Representante_HSP" attribute="1" defaultMemberUniqueName="[Visitas-Outros].[#FK-Email-Representante_HSP].[All]" allUniqueName="[Visitas-Outros].[#FK-Email-Representante_HSP].[All]" dimensionUniqueName="[Visitas-Outros]" displayFolder="" count="0" memberValueDatatype="130" unbalanced="0"/>
    <cacheHierarchy uniqueName="[Visitas-Outros].[#FK-Email-Representante_EMH]" caption="#FK-Email-Representante_EMH" attribute="1" defaultMemberUniqueName="[Visitas-Outros].[#FK-Email-Representante_EMH].[All]" allUniqueName="[Visitas-Outros].[#FK-Email-Representante_EMH].[All]" dimensionUniqueName="[Visitas-Outros]" displayFolder="" count="0" memberValueDatatype="130" unbalanced="0"/>
    <cacheHierarchy uniqueName="[Visitas-Outros].[@-ESP]" caption="@-ESP" attribute="1" defaultMemberUniqueName="[Visitas-Outros].[@-ESP].[All]" allUniqueName="[Visitas-Outros].[@-ESP].[All]" dimensionUniqueName="[Visitas-Outros]" displayFolder="" count="0" memberValueDatatype="11" unbalanced="0"/>
    <cacheHierarchy uniqueName="[Visitas-Outros].[@-HSP]" caption="@-HSP" attribute="1" defaultMemberUniqueName="[Visitas-Outros].[@-HSP].[All]" allUniqueName="[Visitas-Outros].[@-HSP].[All]" dimensionUniqueName="[Visitas-Outros]" displayFolder="" count="0" memberValueDatatype="11" unbalanced="0"/>
    <cacheHierarchy uniqueName="[Visitas-Outros].[@-EMH]" caption="@-EMH" attribute="1" defaultMemberUniqueName="[Visitas-Outros].[@-EMH].[All]" allUniqueName="[Visitas-Outros].[@-EMH].[All]" dimensionUniqueName="[Visitas-Outros]" displayFolder="" count="0" memberValueDatatype="11" unbalanced="0"/>
    <cacheHierarchy uniqueName="[Visitas-Outros].[Visitas-Meta]" caption="Visitas-Meta" attribute="1" defaultMemberUniqueName="[Visitas-Outros].[Visitas-Meta].[All]" allUniqueName="[Visitas-Outros].[Visitas-Meta].[All]" dimensionUniqueName="[Visitas-Outros]" displayFolder="" count="0" memberValueDatatype="5" unbalanced="0"/>
    <cacheHierarchy uniqueName="[Visitas-Outros].[Visitas-Realizadas]" caption="Visitas-Realizadas" attribute="1" defaultMemberUniqueName="[Visitas-Outros].[Visitas-Realizadas].[All]" allUniqueName="[Visitas-Outros].[Visitas-Realizadas].[All]" dimensionUniqueName="[Visitas-Outros]" displayFolder="" count="0" memberValueDatatype="5" unbalanced="0"/>
    <cacheHierarchy uniqueName="[Visitas-Outros].[@Garantido-Visitas]" caption="@Garantido-Visitas" attribute="1" defaultMemberUniqueName="[Visitas-Outros].[@Garantido-Visitas].[All]" allUniqueName="[Visitas-Outros].[@Garantido-Visitas].[All]" dimensionUniqueName="[Visitas-Outros]" displayFolder="" count="0" memberValueDatatype="11" unbalanced="0"/>
    <cacheHierarchy uniqueName="[Visitas-Outros].[%Realizado-Visitas]" caption="%Realizado-Visitas" attribute="1" defaultMemberUniqueName="[Visitas-Outros].[%Realizado-Visitas].[All]" allUniqueName="[Visitas-Outros].[%Realizado-Visitas].[All]" dimensionUniqueName="[Visitas-Outros]" displayFolder="" count="0" memberValueDatatype="5" unbalanced="0"/>
    <cacheHierarchy uniqueName="[Visitas-Outros].[%Realizado-Connect-Mind]" caption="%Realizado-Connect-Mind" attribute="1" defaultMemberUniqueName="[Visitas-Outros].[%Realizado-Connect-Mind].[All]" allUniqueName="[Visitas-Outros].[%Realizado-Connect-Mind].[All]" dimensionUniqueName="[Visitas-Outros]" displayFolder="" count="0" memberValueDatatype="20" unbalanced="0"/>
    <cacheHierarchy uniqueName="[Visitas-Outros].[%Realizado-Aval-GR]" caption="%Realizado-Aval-GR" attribute="1" defaultMemberUniqueName="[Visitas-Outros].[%Realizado-Aval-GR].[All]" allUniqueName="[Visitas-Outros].[%Realizado-Aval-GR].[All]" dimensionUniqueName="[Visitas-Outros]" displayFolder="" count="0" memberValueDatatype="20" unbalanced="0"/>
    <cacheHierarchy uniqueName="[Visitas-Outros].[%Realizado-Plateau]" caption="%Realizado-Plateau" attribute="1" defaultMemberUniqueName="[Visitas-Outros].[%Realizado-Plateau].[All]" allUniqueName="[Visitas-Outros].[%Realizado-Plateau].[All]" dimensionUniqueName="[Visitas-Outros]" displayFolder="" count="0" memberValueDatatype="20" unbalanced="0"/>
    <cacheHierarchy uniqueName="[Visitas-Outros].[%Realizado-Compliance]" caption="%Realizado-Compliance" attribute="1" defaultMemberUniqueName="[Visitas-Outros].[%Realizado-Compliance].[All]" allUniqueName="[Visitas-Outros].[%Realizado-Compliance].[All]" dimensionUniqueName="[Visitas-Outros]" displayFolder="" count="0" memberValueDatatype="20" unbalanced="0"/>
    <cacheHierarchy uniqueName="[Measures].[__XL_Count Datas]" caption="__XL_Count Datas" measure="1" displayFolder="" measureGroup="Datas" count="0" hidden="1"/>
    <cacheHierarchy uniqueName="[Measures].[__XL_Count Demanda]" caption="__XL_Count Demanda" measure="1" displayFolder="" measureGroup="Demanda" count="0" hidden="1"/>
    <cacheHierarchy uniqueName="[Measures].[__XL_Count Distribuidores]" caption="__XL_Count Distribuidores" measure="1" displayFolder="" measureGroup="Distribuidores" count="0" hidden="1"/>
    <cacheHierarchy uniqueName="[Measures].[__XL_Count Estabelecimentos]" caption="__XL_Count Estabelecimentos" measure="1" displayFolder="" measureGroup="Estabelecimentos" count="0" hidden="1"/>
    <cacheHierarchy uniqueName="[Measures].[__XL_Count Gerentes]" caption="__XL_Count Gerentes" measure="1" displayFolder="" measureGroup="Gerentes" count="0" hidden="1"/>
    <cacheHierarchy uniqueName="[Measures].[__XL_Count Produtos]" caption="__XL_Count Produtos" measure="1" displayFolder="" measureGroup="Produtos" count="0" hidden="1"/>
    <cacheHierarchy uniqueName="[Measures].[__XL_Count Produtos-Linhas]" caption="__XL_Count Produtos-Linhas" measure="1" displayFolder="" measureGroup="Produtos-Linhas" count="0" hidden="1"/>
    <cacheHierarchy uniqueName="[Measures].[__XL_Count Representantes]" caption="__XL_Count Representantes" measure="1" displayFolder="" measureGroup="Representantes" count="0" hidden="1"/>
    <cacheHierarchy uniqueName="[Measures].[__XL_Count Representantes-EMH]" caption="__XL_Count Representantes-EMH" measure="1" displayFolder="" measureGroup="Representantes-EMH" count="0" hidden="1"/>
    <cacheHierarchy uniqueName="[Measures].[__XL_Count Representantes-ESP]" caption="__XL_Count Representantes-ESP" measure="1" displayFolder="" measureGroup="Representantes-ESP" count="0" hidden="1"/>
    <cacheHierarchy uniqueName="[Measures].[__XL_Count Representantes-HSP]" caption="__XL_Count Representantes-HSP" measure="1" displayFolder="" measureGroup="Representantes-HSP" count="0" hidden="1"/>
    <cacheHierarchy uniqueName="[Measures].[__XL_Count Venda]" caption="__XL_Count Venda" measure="1" displayFolder="" measureGroup="Venda" count="0" hidden="1"/>
    <cacheHierarchy uniqueName="[Measures].[__XL_Count Visitas-Outros]" caption="__XL_Count Visitas-Outros" measure="1" displayFolder="" measureGroup="Visitas-Outros" count="0" hidden="1"/>
    <cacheHierarchy uniqueName="[Measures].[__XL_Count Cota-Venda]" caption="__XL_Count Cota-Venda" measure="1" displayFolder="" measureGroup="Cota-Venda" count="0" hidden="1"/>
    <cacheHierarchy uniqueName="[Measures].[__XL_Count Cota-Demanda]" caption="__XL_Count Cota-Demanda" measure="1" displayFolder="" measureGroup="Cota-Demanda" count="0" hidden="1"/>
    <cacheHierarchy uniqueName="[Measures].[__XL_Count Valores-Gerentes]" caption="__XL_Count Valores-Gerentes" measure="1" displayFolder="" measureGroup="Valores-Gerentes" count="0" hidden="1"/>
    <cacheHierarchy uniqueName="[Measures].[__XL_Count Valores-Representantes-EMH]" caption="__XL_Count Valores-Representantes-EMH" measure="1" displayFolder="" measureGroup="Valores-Representantes-EMH" count="0" hidden="1"/>
    <cacheHierarchy uniqueName="[Measures].[__XL_Count Valores-Representantes-HSP]" caption="__XL_Count Valores-Representantes-HSP" measure="1" displayFolder="" measureGroup="Valores-Representantes-HSP" count="0" hidden="1"/>
    <cacheHierarchy uniqueName="[Measures].[__XL_Count Valores-Representantes-ESP]" caption="__XL_Count Valores-Representantes-ESP" measure="1" displayFolder="" measureGroup="Valores-Representantes-ESP" count="0" hidden="1"/>
    <cacheHierarchy uniqueName="[Measures].[__XL_Count Representantes-IV]" caption="__XL_Count Representantes-IV" measure="1" displayFolder="" measureGroup="Representantes-IV" count="0" hidden="1"/>
    <cacheHierarchy uniqueName="[Measures].[__XL_Count Demanda-IV-REP]" caption="__XL_Count Demanda-IV-REP" measure="1" displayFolder="" measureGroup="Demanda-IV-REP" count="0" hidden="1"/>
    <cacheHierarchy uniqueName="[Measures].[__No measures defined]" caption="__No measures defined" measure="1" displayFolder="" count="0" hidden="1"/>
    <cacheHierarchy uniqueName="[Measures].[Soma de Venda-BRL]" caption="Soma de Venda-BRL" measure="1" displayFolder="" measureGroup="Venda" count="0" hidden="1">
      <extLst>
        <ext xmlns:x15="http://schemas.microsoft.com/office/spreadsheetml/2010/11/main" uri="{B97F6D7D-B522-45F9-BDA1-12C45D357490}">
          <x15:cacheHierarchy aggregatedColumn="203"/>
        </ext>
      </extLst>
    </cacheHierarchy>
    <cacheHierarchy uniqueName="[Measures].[Soma de Cota-Venda]" caption="Soma de Cota-Venda" measure="1" displayFolder="" measureGroup="Cota-Vend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Cota-Gerente]" caption="Soma de Cota-Gere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manda-EQ]" caption="Soma de Demanda-EQ" measure="1" displayFolder="" measureGroup="Demanda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oma de Cota-Representante]" caption="Soma de Cota-Representa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Demanda-IV 2]" caption="Soma de Demanda-IV 2" measure="1" displayFolder="" measureGroup="Demand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</cacheHierarchies>
  <kpis count="0"/>
  <dimensions count="22">
    <dimension name="Cota-Demanda" uniqueName="[Cota-Demanda]" caption="Cota-Demanda"/>
    <dimension name="Cota-Venda" uniqueName="[Cota-Venda]" caption="Cota-Venda"/>
    <dimension name="Datas" uniqueName="[Datas]" caption="Datas"/>
    <dimension name="Demanda" uniqueName="[Demanda]" caption="Demanda"/>
    <dimension name="Demanda-IV-REP" uniqueName="[Demanda-IV-REP]" caption="Demanda-IV-REP"/>
    <dimension name="Distribuidores" uniqueName="[Distribuidores]" caption="Distribuidores"/>
    <dimension name="Estabelecimentos" uniqueName="[Estabelecimentos]" caption="Estabelecimentos"/>
    <dimension name="Gerentes" uniqueName="[Gerentes]" caption="Gerentes"/>
    <dimension measure="1" name="Measures" uniqueName="[Measures]" caption="Measures"/>
    <dimension name="Produtos" uniqueName="[Produtos]" caption="Produtos"/>
    <dimension name="Produtos-Linhas" uniqueName="[Produtos-Linhas]" caption="Produtos-Linhas"/>
    <dimension name="Representantes" uniqueName="[Representantes]" caption="Representantes"/>
    <dimension name="Representantes-EMH" uniqueName="[Representantes-EMH]" caption="Representantes-EMH"/>
    <dimension name="Representantes-ESP" uniqueName="[Representantes-ESP]" caption="Representantes-ESP"/>
    <dimension name="Representantes-HSP" uniqueName="[Representantes-HSP]" caption="Representantes-HSP"/>
    <dimension name="Representantes-IV" uniqueName="[Representantes-IV]" caption="Representantes-IV"/>
    <dimension name="Valores-Gerentes" uniqueName="[Valores-Gerentes]" caption="Valores-Gerentes"/>
    <dimension name="Valores-Representantes-EMH" uniqueName="[Valores-Representantes-EMH]" caption="Valores-Representantes-EMH"/>
    <dimension name="Valores-Representantes-ESP" uniqueName="[Valores-Representantes-ESP]" caption="Valores-Representantes-ESP"/>
    <dimension name="Valores-Representantes-HSP" uniqueName="[Valores-Representantes-HSP]" caption="Valores-Representantes-HSP"/>
    <dimension name="Venda" uniqueName="[Venda]" caption="Venda"/>
    <dimension name="Visitas-Outros" uniqueName="[Visitas-Outros]" caption="Visitas-Outros"/>
  </dimensions>
  <measureGroups count="21">
    <measureGroup name="Cota-Demanda" caption="Cota-Demanda"/>
    <measureGroup name="Cota-Venda" caption="Cota-Venda"/>
    <measureGroup name="Datas" caption="Datas"/>
    <measureGroup name="Demanda" caption="Demanda"/>
    <measureGroup name="Demanda-IV-REP" caption="Demanda-IV-REP"/>
    <measureGroup name="Distribuidores" caption="Distribuidores"/>
    <measureGroup name="Estabelecimentos" caption="Estabelecimentos"/>
    <measureGroup name="Gerentes" caption="Gerentes"/>
    <measureGroup name="Produtos" caption="Produtos"/>
    <measureGroup name="Produtos-Linhas" caption="Produtos-Linhas"/>
    <measureGroup name="Representantes" caption="Representantes"/>
    <measureGroup name="Representantes-EMH" caption="Representantes-EMH"/>
    <measureGroup name="Representantes-ESP" caption="Representantes-ESP"/>
    <measureGroup name="Representantes-HSP" caption="Representantes-HSP"/>
    <measureGroup name="Representantes-IV" caption="Representantes-IV"/>
    <measureGroup name="Valores-Gerentes" caption="Valores-Gerentes"/>
    <measureGroup name="Valores-Representantes-EMH" caption="Valores-Representantes-EMH"/>
    <measureGroup name="Valores-Representantes-ESP" caption="Valores-Representantes-ESP"/>
    <measureGroup name="Valores-Representantes-HSP" caption="Valores-Representantes-HSP"/>
    <measureGroup name="Venda" caption="Venda"/>
    <measureGroup name="Visitas-Outros" caption="Visitas-Outros"/>
  </measureGroups>
  <maps count="59">
    <map measureGroup="0" dimension="0"/>
    <map measureGroup="0" dimension="2"/>
    <map measureGroup="0" dimension="7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1" dimension="1"/>
    <map measureGroup="1" dimension="2"/>
    <map measureGroup="1" dimension="7"/>
    <map measureGroup="1" dimension="9"/>
    <map measureGroup="1" dimension="10"/>
    <map measureGroup="1" dimension="11"/>
    <map measureGroup="2" dimension="2"/>
    <map measureGroup="3" dimension="2"/>
    <map measureGroup="3" dimension="3"/>
    <map measureGroup="3" dimension="5"/>
    <map measureGroup="3" dimension="6"/>
    <map measureGroup="3" dimension="7"/>
    <map measureGroup="3" dimension="9"/>
    <map measureGroup="3" dimension="10"/>
    <map measureGroup="3" dimension="12"/>
    <map measureGroup="3" dimension="13"/>
    <map measureGroup="3" dimension="14"/>
    <map measureGroup="4" dimension="2"/>
    <map measureGroup="4" dimension="4"/>
    <map measureGroup="4" dimension="10"/>
    <map measureGroup="4" dimension="11"/>
    <map measureGroup="4" dimension="15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  <map measureGroup="15" dimension="16"/>
    <map measureGroup="16" dimension="17"/>
    <map measureGroup="17" dimension="18"/>
    <map measureGroup="18" dimension="19"/>
    <map measureGroup="19" dimension="2"/>
    <map measureGroup="19" dimension="6"/>
    <map measureGroup="19" dimension="7"/>
    <map measureGroup="19" dimension="9"/>
    <map measureGroup="19" dimension="10"/>
    <map measureGroup="19" dimension="11"/>
    <map measureGroup="19" dimension="20"/>
    <map measureGroup="20" dimension="2"/>
    <map measureGroup="20" dimension="7"/>
    <map measureGroup="20" dimension="11"/>
    <map measureGroup="20" dimension="12"/>
    <map measureGroup="20" dimension="13"/>
    <map measureGroup="20" dimension="14"/>
    <map measureGroup="20" dimension="2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aldomiro Barbosa" refreshedDate="44061.433348958337" backgroundQuery="1" createdVersion="6" refreshedVersion="6" minRefreshableVersion="3" recordCount="0" supportSubquery="1" supportAdvancedDrill="1" xr:uid="{3EA17339-AEEE-4283-9C03-4646D03B74B9}">
  <cacheSource type="external" connectionId="40"/>
  <cacheFields count="9">
    <cacheField name="[Datas].[AnoMes-Fiscal].[AnoMes-Fiscal]" caption="AnoMes-Fiscal" numFmtId="0" hierarchy="30" level="1">
      <sharedItems containsSemiMixedTypes="0" containsNonDate="0" containsString="0"/>
    </cacheField>
    <cacheField name="[Produtos-Linhas].[Linha].[Linha]" caption="Linha" numFmtId="0" hierarchy="94" level="1">
      <sharedItems count="5">
        <s v="BERINERT"/>
        <s v="BERIPLEX"/>
        <s v="HAEMO"/>
        <s v="HIZENTRA"/>
        <s v="PRIVIGEN"/>
      </sharedItems>
    </cacheField>
    <cacheField name="[Estabelecimentos].[Estabelecimento-CNPJ].[Estabelecimento-CNPJ]" caption="Estabelecimento-CNPJ" numFmtId="0" hierarchy="63" level="1">
      <sharedItems count="102">
        <s v="A.C.CAMARGO CANCER CENTER - SÃO PAULO-SP (60.961.968/0001-06)"/>
        <s v="ALBERT SABIN HOSPITAL E MATERNIDADE - ATIBAIA-SP (04.275.687/0001-29)"/>
        <s v="ALERGO LOGICA DIAGNOSTICO EM ALERGIA LTDA ME - CAMPINAS-SP (10.447.300/0001-77)"/>
        <s v="AMICO SAUDE LTDA - MOJI DAS CRUZES-SP (51.722.957/0143-02)"/>
        <s v="AMICO SAUDE LTDA - SÃO PAULO-SP (51.722.957/0102-26)"/>
        <s v="AUTARQUIA HOSPITALAR MUNICIPAL - SÃO PAULO-SP (04.995.603/0001-21)"/>
        <s v="BENEFICENCIA NIPO BRASILEIRA DE SAO PAULO - SÃO PAULO-SP (60.992.427/0006-50)"/>
        <s v="CENTRAL CLINIC - SÃO PAULO-SP (02.383.508/0004-94)"/>
        <s v="CENTRO DE REFERENCIA DA SAUDE DA MULHER - MATER - RIBEIRÃO PRETO-SP (57.722.118/0003-02)"/>
        <s v="CIAT CENTRO DE INFUSAO ALTO TIETE LTDA - MOJI DAS CRUZES-SP (21.925.244/0001-55)"/>
        <s v="COMPLEXO HOSPITALAR MUNICIPAL DE SAO BERNARDO DO CAMPO - SÃO BERNARDO DO CAMPO-SP (57.571.275/0017-60)"/>
        <s v="CONJUNTO HOSPITALAR DO MANDAQUI - SÃO PAULO-SP (46.374.500/0088-45)"/>
        <s v="COORDENADORIA DE ASSISTENCIA FARMACEUTICA - SÃO PAULO-SP (46.374.500/0262-31)"/>
        <s v="DA MATTA AIN CLINICA DE VACINA LTDA - TAUBATÉ-SP (29.929.600/0001-10)"/>
        <s v="ESHO - HOSPITAL GERAL E MATERNIDADE MADRE MARIA THEODORA - CAMPINAS-SP (29.435.005/0084-56)"/>
        <s v="ESHO EMPRESA DE SERVICOS HOSPITALARES - SÃO PAULO-SP (29.435.005/0099-32)"/>
        <s v="FAEPA - RIBEIRÃO PRETO-SP (57.722.118/0001-40)"/>
        <s v="FUNDACAO CENTRO MEDICO DE CAMPINAS - CAMPINAS-SP (44.595.700/0001-41)"/>
        <s v="FUNDO MUNICIPAL DE SAUDE - FMS - SÃO PAULO-SP (13.864.377/0001-30)"/>
        <s v="GLOBAL CARE ASSISTENCIA DOMICILIAR LTDA - SÃO PAULO-SP (03.872.790/0001-93)"/>
        <s v="HCFMB - BOTUCATU-SP (12.474.705/0001-20)"/>
        <s v="HEMOMED - SÃO PAULO-SP (10.475.230/0001-60)"/>
        <s v="HOME CARE CENE - SÃO JOSÉ DO RIO PRETO-SP (02.643.405/0001-73)"/>
        <s v="HOME HEALTH CARE DOCTOR SERVICOS MEDICOS DOMICILIARES S/S LTDA - SÃO PAULO-SP (00.603.226/0001-87)"/>
        <s v="HOSP.E MATERN. BENEFICENCIA PORTUGUESA DE SANTO ANDRE - SANTO ANDRÉ-SP (57.507.402/0001-02)"/>
        <s v="HOSPITAL 9 DE JULHO - SÃO PAULO-SP (60.884.855/0003-16)"/>
        <s v="HOSPITAL A.C.CAMARGO - TAMANDARE - SÃO PAULO-SP (60.961.968/0004-59)"/>
        <s v="HOSPITAL ACACIAS - SANTO ANDRÉ-SP (13.718.999/0010-41)"/>
        <s v="HOSPITAL ALEMAO OSWALDO CRUZ - SÃO PAULO-SP (60.726.502/0001-26)"/>
        <s v="HOSPITAL ALEMAO OSWALDO CRUZ - SÃO PAULO-SP (60.726.502/0007-11)"/>
        <s v="HOSPITAL BANDEIRANTES LTDA - SÃO PAULO-SP (21.371.777/0001-32)"/>
        <s v="HOSPITAL DAS CLINICAS DA FACULDADE DE MEDICINA DA U S P - SÃO PAULO-SP (60.448.040/0001-22)"/>
        <s v="HOSPITAL DE BASE - SÃO JOSÉ DO RIO PRETO-SP (60.003.761/0001-29)"/>
        <s v="HOSPITAL DO CORACAO - SÃO PAULO-SP (60.453.024/0003-90)"/>
        <s v="HOSPITAL DR ARISTOTELES OLIVEIRA MARTINS - PRESIDENTE PRUDENTE-SP (55.344.337/0001-08)"/>
        <s v="HOSPITAL E MATERNIDADE CELSO PIERRO - CAMPINAS-SP (46.020.301/0002-69)"/>
        <s v="HOSPITAL E MATERNIDADE DR CHRISTOVAO DA GAMA S A - SANTO ANDRÉ-SP (57.482.903/0001-73)"/>
        <s v="HOSPITAL E MATERNIDADE SANTA JOANA S/A - SÃO PAULO-SP (60.678.604/0001-13)"/>
        <s v="HOSPITAL E MATERNIDADE SANTA MARIA - SÃO PAULO-SP (62.106.505/0001-92)"/>
        <s v="HOSPITAL E MATERNIDADE SAO CRISTOVAO - SÃO PAULO-SP (60.975.174/0003-63)"/>
        <s v="HOSPITAL E MATERNIDADE UNIMED - RIO CLARO-SP (44.663.631/0005-90)"/>
        <s v="HOSPITAL GERAL DE PIRAJUSSARA - TABOÃO DA SERRA-SP (61.699.567/0004-35)"/>
        <s v="HOSPITAL GUILHERME ALVARO - SANTOS-SP (46.374.500/0016-70)"/>
        <s v="HOSPITAL INFANTIL SABARA - SÃO PAULO-SP (61.213.674/0002-40)"/>
        <s v="HOSPITAL MATERNIDADE FREI GALVAO - GUARATINGUETÁ-SP (51.612.828/0001-31)"/>
        <s v="HOSPITAL MUNICIPAL DR MARIO GATTI - CAMPINAS-SP (47.018.676/0001-76)"/>
        <s v="HOSPITAL PADRE ALBINO - CATANDUVA-SP (47.074.851/0008-19)"/>
        <s v="HOSPITAL PAULO SACRAMENTO - JUNDIAÍ-SP (44.649.812/0016-14)"/>
        <s v="HOSPITAL POLICLIN - SÃO JOSÉ DOS CAMPOS-SP (45.184.066/0001-17)"/>
        <s v="HOSPITAL REGIONAL DE SOROCABA - BATA BRANCA - SOROCABA-SP (61.699.567/0078-71)"/>
        <s v="HOSPITAL REGIONAL DO VALE DO PARAIBA - TAUBATÉ-SP (60.975.737/0072-45)"/>
        <s v="HOSPITAL REGIONAL SUL - SÃO PAULO-SP (46.374.500/0112-00)"/>
        <s v="HOSPITAL SANTA CATARINA - SÃO PAULO-SP (60.922.168/0007-71)"/>
        <s v="HOSPITAL SANTA CRUZ - SÃO PAULO-SP (60.552.098/0001-11)"/>
        <s v="HOSPITAL SANTA PAULA LTDA - SÃO PAULO-SP (60.777.901/0001-16)"/>
        <s v="HOSPITAL SAO CAMILO - IPIRANGA - SÃO PAULO-SP (60.975.737/0051-10)"/>
        <s v="HOSPITAL SAO CAMILO - POMPEIA - SÃO PAULO-SP (60.975.737/0002-32)"/>
        <s v="HOSPITAL SAO CAMILO - SANTANA - SÃO PAULO-SP (60.975.737/0012-04)"/>
        <s v="HOSPITAL SAO JOAQUIM - FRANCA-SP (50.486.026/0001-60)"/>
        <s v="HOSPITAL SAO LUCAS - RIBEIRÃO PRETO-SP (55.980.148/0001-21)"/>
        <s v="HOSPITAL SAO LUIZ UNIDADE ITAIM (REDE DOR) - SÃO PAULO-SP (06.047.087/0002-10)"/>
        <s v="HOSPITAL UNIMED - BAURU-SP (44.456.036/0003-11)"/>
        <s v="HOSPITAL UNIMED DE ARACATUBA - ARAÇATUBA-SP (51.093.193/0004-56)"/>
        <s v="HOSPITAL UNIMED LIMEIRA - LIMEIRA-SP (50.480.953/0002-53)"/>
        <s v="HOSPITAL UNIMED SAO CARLOS - SÃO CARLOS-SP (45.359.213/0005-76)"/>
        <s v="HOSPITAL UNIVERSITARIO SAO FRANCISCO NA PROV. DE DEUS - BRAGANÇA PAULISTA-SP (53.221.255/0051-00)"/>
        <s v="HOSPITAL VERA CRUZ S A - CAMPINAS-SP (46.009.718/0001-40)"/>
        <s v="HOSPITAL VILA NOVA STAR - SÃO PAULO-SP (28.290.788/0001-37)"/>
        <s v="HOSPITAL VIVALLE (REDE DOR) - SÃO JOSÉ DOS CAMPOS-SP (06.047.087/0030-73)"/>
        <s v="IDEAL CARE - SÃO PAULO-SP (02.853.951/0001-39)"/>
        <s v="INSTITUTO DANTE PAZZANESE DE CARDIOLOGIA - SÃO PAULO-SP (46.374.500/0009-41)"/>
        <s v="INSTITUTO DE INFECTOLOGIA EMILIO RIBAS - SÃO PAULO-SP (46.374.500/0008-60)"/>
        <s v="INSTITUTO DE ONCOLOGIA PREVENT SENIOR - SÃO PAULO-SP (00.461.479/0045-84)"/>
        <s v="INTERMEDICA ASISTEMA DE SAUDE - SÃO PAULO-SP (44.649.812/0069-26)"/>
        <s v="IRMANDADE DA SANTA CASA DE MISERICORDIA DE SAO PAULO - SÃO PAULO-SP (62.779.145/0001-90)"/>
        <s v="JAVIER CARBAJAL ALLERGY AND IMMUNOLOGY INSTITUTE - SÃO PAULO-SP (03.940.825/0001-84)"/>
        <s v="ONCOCENTER SERVICOS MEDICOS LTDA. - SÃO PAULO-SP (04.036.348/0001-90)"/>
        <s v="ONCOEXPRESS - SÃO PAULO-SP (22.227.973/0001-09)"/>
        <s v="ONCOLOGICA - SÃO PAULO-SP (00.856.925/0001-39)"/>
        <s v="ONCOVIDA - TAUBATÉ-SP (03.511.658/0001-56)"/>
        <s v="PREFEITURA MUNICIPAL DE CAMPINAS - CAMPINAS-SP (51.885.242/0001-40)"/>
        <s v="REAL E BENEMERITA ASSOCIACAO PORTUGUESA DE BENEFICENCIA - SÃO PAULO-SP (61.599.908/0001-58)"/>
        <s v="SAHA SERVICOS MEDICOS E HOSPITALARES LTDA. - SÃO PAULO-SP (07.045.325/0001-30)"/>
        <s v="SANTA CASA DE ITU - ITU-SP (60.975.737/0068-69)"/>
        <s v="SANTA CASA SAUDE - SÃO JOSÉ DOS CAMPOS-SP (18.321.477/0001-34)"/>
        <s v="SANTA HELENA ASSISTENCIA MEDICA S/A - SÃO BERNARDO DO CAMPO-SP (43.293.604/0021-20)"/>
        <s v="SAUDE CARE GERENCIAMENTO DE INFRAESTRUTURA E ASSISTENCIA A SAUDE EIRELI - SANTOS-SP (05.094.642/0001-10)"/>
        <s v="SAUDE HOME CARE - CAMPINAS-SP (06.959.943/0001-22)"/>
        <s v="SEPACO - SÃO PAULO-SP (60.961.422/0001-55)"/>
        <s v="SINGULAR MEDICAMENTOS ESPECIAIS - SÃO PAULO-SP (13.759.813/0001-01)"/>
        <s v="SOBAM CENTRO MEDICO HOSPITALAR LTDA - JUNDIAÍ-SP (50.739.135/0017-09)"/>
        <s v="SOC BENEFICIENTE DE SENHORAS HOSPITAL SIRIO LIBANES - SÃO PAULO-SP (61.590.410/0001-24)"/>
        <s v="SOCIEDADE BENEFICENTE DE PRESIDENTE BERNARDES - SÃO PAULO-SP (19.803.199/0001-14)"/>
        <s v="UNIMED CAMPINAS - CAMPINAS-SP (46.124.624/0001-11)"/>
        <s v="UNIMED CAMPINAS - CAMPINAS-SP (46.124.624/0026-70)"/>
        <s v="UNIMED CATANDUVA - HOSPITAL SAO DOMINGOS - CATANDUVA-SP (45.118.429/0012-79)"/>
        <s v="UNIMED DE BOTUCATU HOSPITAL - BOTUCATU-SP (45.425.899/0004-75)"/>
        <s v="UNIMED DE RIBEIRAO PRETO COOPERATIVA DE TRABALHO MEDICO - RIBEIRÃO PRETO-SP (45.232.246/0005-50)"/>
        <s v="UNIMED DE SANTOS COOPERATIVA DE TRABALHO MEDICO - SANTOS-SP (58.229.691/0010-70)"/>
        <s v="UNIMED SANTA BARBARA DOESTE AMERICANA UNIMED - AMERICANA-SP (48.628.366/0007-21)"/>
        <s v="UNIMED SAO JOSE DOS CAMPOS - HOSPITAL SANTOS DUMONT - SÃO JOSÉ DOS CAMPOS-SP (60.214.517/0016-91)"/>
        <s v="UNIMED SOROCABA - SOROCABA-SP (45.399.961/0002-30)"/>
      </sharedItems>
    </cacheField>
    <cacheField name="[Measures].[Soma de Demanda-IV 2]" caption="Soma de Demanda-IV 2" numFmtId="0" hierarchy="249" level="32767"/>
    <cacheField name="[Demanda].[@-Ministerio].[@-Ministerio]" caption="@-Ministerio" numFmtId="0" hierarchy="37" level="1">
      <sharedItems containsSemiMixedTypes="0" containsNonDate="0" containsString="0"/>
    </cacheField>
    <cacheField name="[Demanda].[@-Distribuidor].[@-Distribuidor]" caption="@-Distribuidor" numFmtId="0" hierarchy="38" level="1">
      <sharedItems containsSemiMixedTypes="0" containsNonDate="0" containsString="0"/>
    </cacheField>
    <cacheField name="[Demanda].[@-IV-Demanda].[@-IV-Demanda]" caption="@-IV-Demanda" numFmtId="0" hierarchy="39" level="1">
      <sharedItems containsSemiMixedTypes="0" containsNonDate="0" containsString="0"/>
    </cacheField>
    <cacheField name="[Gerentes].[#FK-Email-Gerente].[#FK-Email-Gerente]" caption="#FK-Email-Gerente" numFmtId="0" hierarchy="74" level="1">
      <sharedItems containsSemiMixedTypes="0" containsNonDate="0" containsString="0"/>
    </cacheField>
    <cacheField name="[Gerentes].[@-Calculo-IV].[@-Calculo-IV]" caption="@-Calculo-IV" numFmtId="0" hierarchy="77" level="1">
      <sharedItems containsSemiMixedTypes="0" containsNonDate="0" containsString="0"/>
    </cacheField>
  </cacheFields>
  <cacheHierarchies count="250">
    <cacheHierarchy uniqueName="[Cota-Demanda].[#FK-AnoMes-Unv]" caption="#FK-AnoMes-Unv" attribute="1" defaultMemberUniqueName="[Cota-Demanda].[#FK-AnoMes-Unv].[All]" allUniqueName="[Cota-Demanda].[#FK-AnoMes-Unv].[All]" dimensionUniqueName="[Cota-Demanda]" displayFolder="" count="0" memberValueDatatype="5" unbalanced="0"/>
    <cacheHierarchy uniqueName="[Cota-Demanda].[#FK-Cod-Linha]" caption="#FK-Cod-Linha" attribute="1" defaultMemberUniqueName="[Cota-Demanda].[#FK-Cod-Linha].[All]" allUniqueName="[Cota-Demanda].[#FK-Cod-Linha].[All]" dimensionUniqueName="[Cota-Demanda]" displayFolder="" count="0" memberValueDatatype="5" unbalanced="0"/>
    <cacheHierarchy uniqueName="[Cota-Demanda].[#FK-Email-Gerente]" caption="#FK-Email-Gerente" attribute="1" defaultMemberUniqueName="[Cota-Demanda].[#FK-Email-Gerente].[All]" allUniqueName="[Cota-Demanda].[#FK-Email-Gerente].[All]" dimensionUniqueName="[Cota-Demanda]" displayFolder="" count="0" memberValueDatatype="130" unbalanced="0"/>
    <cacheHierarchy uniqueName="[Cota-Demanda].[#FK-Email-Representante]" caption="#FK-Email-Representante" attribute="1" defaultMemberUniqueName="[Cota-Demanda].[#FK-Email-Representante].[All]" allUniqueName="[Cota-Demanda].[#FK-Email-Representante].[All]" dimensionUniqueName="[Cota-Demanda]" displayFolder="" count="0" memberValueDatatype="130" unbalanced="0"/>
    <cacheHierarchy uniqueName="[Cota-Demanda].[#FK-Email-Representante_ESP]" caption="#FK-Email-Representante_ESP" attribute="1" defaultMemberUniqueName="[Cota-Demanda].[#FK-Email-Representante_ESP].[All]" allUniqueName="[Cota-Demanda].[#FK-Email-Representante_ESP].[All]" dimensionUniqueName="[Cota-Demanda]" displayFolder="" count="0" memberValueDatatype="130" unbalanced="0"/>
    <cacheHierarchy uniqueName="[Cota-Demanda].[#FK-Email-Representante_HSP]" caption="#FK-Email-Representante_HSP" attribute="1" defaultMemberUniqueName="[Cota-Demanda].[#FK-Email-Representante_HSP].[All]" allUniqueName="[Cota-Demanda].[#FK-Email-Representante_HSP].[All]" dimensionUniqueName="[Cota-Demanda]" displayFolder="" count="0" memberValueDatatype="130" unbalanced="0"/>
    <cacheHierarchy uniqueName="[Cota-Demanda].[#FK-Email-Representante_EMH]" caption="#FK-Email-Representante_EMH" attribute="1" defaultMemberUniqueName="[Cota-Demanda].[#FK-Email-Representante_EMH].[All]" allUniqueName="[Cota-Demanda].[#FK-Email-Representante_EMH].[All]" dimensionUniqueName="[Cota-Demanda]" displayFolder="" count="0" memberValueDatatype="130" unbalanced="0"/>
    <cacheHierarchy uniqueName="[Cota-Demanda].[@-ESP]" caption="@-ESP" attribute="1" defaultMemberUniqueName="[Cota-Demanda].[@-ESP].[All]" allUniqueName="[Cota-Demanda].[@-ESP].[All]" dimensionUniqueName="[Cota-Demanda]" displayFolder="" count="0" memberValueDatatype="11" unbalanced="0"/>
    <cacheHierarchy uniqueName="[Cota-Demanda].[@-HSP]" caption="@-HSP" attribute="1" defaultMemberUniqueName="[Cota-Demanda].[@-HSP].[All]" allUniqueName="[Cota-Demanda].[@-HSP].[All]" dimensionUniqueName="[Cota-Demanda]" displayFolder="" count="0" memberValueDatatype="11" unbalanced="0"/>
    <cacheHierarchy uniqueName="[Cota-Demanda].[@-EMH]" caption="@-EMH" attribute="1" defaultMemberUniqueName="[Cota-Demanda].[@-EMH].[All]" allUniqueName="[Cota-Demanda].[@-EMH].[All]" dimensionUniqueName="[Cota-Demanda]" displayFolder="" count="0" memberValueDatatype="11" unbalanced="0"/>
    <cacheHierarchy uniqueName="[Cota-Demanda].[@-Garantido]" caption="@-Garantido" attribute="1" defaultMemberUniqueName="[Cota-Demanda].[@-Garantido].[All]" allUniqueName="[Cota-Demanda].[@-Garantido].[All]" dimensionUniqueName="[Cota-Demanda]" displayFolder="" count="0" memberValueDatatype="11" unbalanced="0"/>
    <cacheHierarchy uniqueName="[Cota-Demanda].[@-IV-Demanda]" caption="@-IV-Demanda" attribute="1" defaultMemberUniqueName="[Cota-Demanda].[@-IV-Demanda].[All]" allUniqueName="[Cota-Demanda].[@-IV-Demanda].[All]" dimensionUniqueName="[Cota-Demanda]" displayFolder="" count="0" memberValueDatatype="11" unbalanced="0"/>
    <cacheHierarchy uniqueName="[Cota-Demanda].[Cota-Representante]" caption="Cota-Representante" attribute="1" defaultMemberUniqueName="[Cota-Demanda].[Cota-Representante].[All]" allUniqueName="[Cota-Demanda].[Cota-Representante].[All]" dimensionUniqueName="[Cota-Demanda]" displayFolder="" count="0" memberValueDatatype="5" unbalanced="0"/>
    <cacheHierarchy uniqueName="[Cota-Demanda].[Cota-Gerente]" caption="Cota-Gerente" attribute="1" defaultMemberUniqueName="[Cota-Demanda].[Cota-Gerente].[All]" allUniqueName="[Cota-Demanda].[Cota-Gerente].[All]" dimensionUniqueName="[Cota-Demanda]" displayFolder="" count="0" memberValueDatatype="5" unbalanced="0"/>
    <cacheHierarchy uniqueName="[Cota-Venda].[#FK-AnoMes-Unv]" caption="#FK-AnoMes-Unv" attribute="1" defaultMemberUniqueName="[Cota-Venda].[#FK-AnoMes-Unv].[All]" allUniqueName="[Cota-Venda].[#FK-AnoMes-Unv].[All]" dimensionUniqueName="[Cota-Venda]" displayFolder="" count="0" memberValueDatatype="5" unbalanced="0"/>
    <cacheHierarchy uniqueName="[Cota-Venda].[#FK-Cod-Linha]" caption="#FK-Cod-Linha" attribute="1" defaultMemberUniqueName="[Cota-Venda].[#FK-Cod-Linha].[All]" allUniqueName="[Cota-Venda].[#FK-Cod-Linha].[All]" dimensionUniqueName="[Cota-Venda]" displayFolder="" count="0" memberValueDatatype="5" unbalanced="0"/>
    <cacheHierarchy uniqueName="[Cota-Venda].[#FK-Cod-Produto]" caption="#FK-Cod-Produto" attribute="1" defaultMemberUniqueName="[Cota-Venda].[#FK-Cod-Produto].[All]" allUniqueName="[Cota-Venda].[#FK-Cod-Produto].[All]" dimensionUniqueName="[Cota-Venda]" displayFolder="" count="0" memberValueDatatype="130" unbalanced="0"/>
    <cacheHierarchy uniqueName="[Cota-Venda].[#FK-Email-Gerente]" caption="#FK-Email-Gerente" attribute="1" defaultMemberUniqueName="[Cota-Venda].[#FK-Email-Gerente].[All]" allUniqueName="[Cota-Venda].[#FK-Email-Gerente].[All]" dimensionUniqueName="[Cota-Venda]" displayFolder="" count="0" memberValueDatatype="130" unbalanced="0"/>
    <cacheHierarchy uniqueName="[Cota-Venda].[#FK-Email-Representante]" caption="#FK-Email-Representante" attribute="1" defaultMemberUniqueName="[Cota-Venda].[#FK-Email-Representante].[All]" allUniqueName="[Cota-Venda].[#FK-Email-Representante].[All]" dimensionUniqueName="[Cota-Venda]" displayFolder="" count="0" memberValueDatatype="130" unbalanced="0"/>
    <cacheHierarchy uniqueName="[Cota-Venda].[@-Garantido]" caption="@-Garantido" attribute="1" defaultMemberUniqueName="[Cota-Venda].[@-Garantido].[All]" allUniqueName="[Cota-Venda].[@-Garantido].[All]" dimensionUniqueName="[Cota-Venda]" displayFolder="" count="0" memberValueDatatype="11" unbalanced="0"/>
    <cacheHierarchy uniqueName="[Cota-Venda].[@-IV-Venda]" caption="@-IV-Venda" attribute="1" defaultMemberUniqueName="[Cota-Venda].[@-IV-Venda].[All]" allUniqueName="[Cota-Venda].[@-IV-Venda].[All]" dimensionUniqueName="[Cota-Venda]" displayFolder="" count="0" memberValueDatatype="11" unbalanced="0"/>
    <cacheHierarchy uniqueName="[Cota-Venda].[Cota-Venda]" caption="Cota-Venda" attribute="1" defaultMemberUniqueName="[Cota-Venda].[Cota-Venda].[All]" allUniqueName="[Cota-Venda].[Cota-Venda].[All]" dimensionUniqueName="[Cota-Venda]" displayFolder="" count="0" memberValueDatatype="5" unbalanced="0"/>
    <cacheHierarchy uniqueName="[Datas].[#PK-AnoMes-Unv]" caption="#PK-AnoMes-Unv" attribute="1" defaultMemberUniqueName="[Datas].[#PK-AnoMes-Unv].[All]" allUniqueName="[Datas].[#PK-AnoMes-Unv].[All]" dimensionUniqueName="[Datas]" displayFolder="" count="0" memberValueDatatype="5" unbalanced="0"/>
    <cacheHierarchy uniqueName="[Datas].[#Idx-Ano-Unv]" caption="#Idx-Ano-Unv" attribute="1" defaultMemberUniqueName="[Datas].[#Idx-Ano-Unv].[All]" allUniqueName="[Datas].[#Idx-Ano-Unv].[All]" dimensionUniqueName="[Datas]" displayFolder="" count="0" memberValueDatatype="20" unbalanced="0"/>
    <cacheHierarchy uniqueName="[Datas].[#Idx-Mes-Unv]" caption="#Idx-Mes-Unv" attribute="1" defaultMemberUniqueName="[Datas].[#Idx-Mes-Unv].[All]" allUniqueName="[Datas].[#Idx-Mes-Unv].[All]" dimensionUniqueName="[Datas]" displayFolder="" count="0" memberValueDatatype="20" unbalanced="0"/>
    <cacheHierarchy uniqueName="[Datas].[#Idx-Ano-Fiscal]" caption="#Idx-Ano-Fiscal" attribute="1" defaultMemberUniqueName="[Datas].[#Idx-Ano-Fiscal].[All]" allUniqueName="[Datas].[#Idx-Ano-Fiscal].[All]" dimensionUniqueName="[Datas]" displayFolder="" count="0" memberValueDatatype="5" unbalanced="0"/>
    <cacheHierarchy uniqueName="[Datas].[#Idx-Tri-Fiscal]" caption="#Idx-Tri-Fiscal" attribute="1" defaultMemberUniqueName="[Datas].[#Idx-Tri-Fiscal].[All]" allUniqueName="[Datas].[#Idx-Tri-Fiscal].[All]" dimensionUniqueName="[Datas]" displayFolder="" count="0" memberValueDatatype="5" unbalanced="0"/>
    <cacheHierarchy uniqueName="[Datas].[#Idx-Mes-Fiscal]" caption="#Idx-Mes-Fiscal" attribute="1" defaultMemberUniqueName="[Datas].[#Idx-Mes-Fiscal].[All]" allUniqueName="[Datas].[#Idx-Mes-Fiscal].[All]" dimensionUniqueName="[Datas]" displayFolder="" count="0" memberValueDatatype="5" unbalanced="0"/>
    <cacheHierarchy uniqueName="[Datas].[Ano-Fiscal]" caption="Ano-Fiscal" attribute="1" defaultMemberUniqueName="[Datas].[Ano-Fiscal].[All]" allUniqueName="[Datas].[Ano-Fiscal].[All]" dimensionUniqueName="[Datas]" displayFolder="" count="0" memberValueDatatype="130" unbalanced="0"/>
    <cacheHierarchy uniqueName="[Datas].[Tri-Fiscal]" caption="Tri-Fiscal" attribute="1" defaultMemberUniqueName="[Datas].[Tri-Fiscal].[All]" allUniqueName="[Datas].[Tri-Fiscal].[All]" dimensionUniqueName="[Datas]" displayFolder="" count="0" memberValueDatatype="130" unbalanced="0"/>
    <cacheHierarchy uniqueName="[Datas].[AnoMes-Fiscal]" caption="AnoMes-Fiscal" attribute="1" defaultMemberUniqueName="[Datas].[AnoMes-Fiscal].[All]" allUniqueName="[Datas].[AnoMes-Fiscal].[All]" dimensionUniqueName="[Datas]" displayFolder="" count="2" memberValueDatatype="130" unbalanced="0">
      <fieldsUsage count="2">
        <fieldUsage x="-1"/>
        <fieldUsage x="0"/>
      </fieldsUsage>
    </cacheHierarchy>
    <cacheHierarchy uniqueName="[Datas].[Mes-Fiscal]" caption="Mes-Fiscal" attribute="1" defaultMemberUniqueName="[Datas].[Mes-Fiscal].[All]" allUniqueName="[Datas].[Mes-Fiscal].[All]" dimensionUniqueName="[Datas]" displayFolder="" count="0" memberValueDatatype="130" unbalanced="0"/>
    <cacheHierarchy uniqueName="[Demanda].[#FK-AnoMes-Unv]" caption="#FK-AnoMes-Unv" attribute="1" defaultMemberUniqueName="[Demanda].[#FK-AnoMes-Unv].[All]" allUniqueName="[Demanda].[#FK-AnoMes-Unv].[All]" dimensionUniqueName="[Demanda]" displayFolder="" count="0" memberValueDatatype="5" unbalanced="0"/>
    <cacheHierarchy uniqueName="[Demanda].[#FK-Cod-Linha]" caption="#FK-Cod-Linha" attribute="1" defaultMemberUniqueName="[Demanda].[#FK-Cod-Linha].[All]" allUniqueName="[Demanda].[#FK-Cod-Linha].[All]" dimensionUniqueName="[Demanda]" displayFolder="" count="0" memberValueDatatype="5" unbalanced="0"/>
    <cacheHierarchy uniqueName="[Demanda].[#FK-Cod-Produto]" caption="#FK-Cod-Produto" attribute="1" defaultMemberUniqueName="[Demanda].[#FK-Cod-Produto].[All]" allUniqueName="[Demanda].[#FK-Cod-Produto].[All]" dimensionUniqueName="[Demanda]" displayFolder="" count="0" memberValueDatatype="130" unbalanced="0"/>
    <cacheHierarchy uniqueName="[Demanda].[#FK-CNPJ-Distribuidor]" caption="#FK-CNPJ-Distribuidor" attribute="1" defaultMemberUniqueName="[Demanda].[#FK-CNPJ-Distribuidor].[All]" allUniqueName="[Demanda].[#FK-CNPJ-Distribuidor].[All]" dimensionUniqueName="[Demanda]" displayFolder="" count="0" memberValueDatatype="5" unbalanced="0"/>
    <cacheHierarchy uniqueName="[Demanda].[#FK-CNPJ-Estabelecimento]" caption="#FK-CNPJ-Estabelecimento" attribute="1" defaultMemberUniqueName="[Demanda].[#FK-CNPJ-Estabelecimento].[All]" allUniqueName="[Demanda].[#FK-CNPJ-Estabelecimento].[All]" dimensionUniqueName="[Demanda]" displayFolder="" count="0" memberValueDatatype="5" unbalanced="0"/>
    <cacheHierarchy uniqueName="[Demanda].[@-Ministerio]" caption="@-Ministerio" attribute="1" defaultMemberUniqueName="[Demanda].[@-Ministerio].[All]" allUniqueName="[Demanda].[@-Ministerio].[All]" dimensionUniqueName="[Demanda]" displayFolder="" count="2" memberValueDatatype="11" unbalanced="0">
      <fieldsUsage count="2">
        <fieldUsage x="-1"/>
        <fieldUsage x="4"/>
      </fieldsUsage>
    </cacheHierarchy>
    <cacheHierarchy uniqueName="[Demanda].[@-Distribuidor]" caption="@-Distribuidor" attribute="1" defaultMemberUniqueName="[Demanda].[@-Distribuidor].[All]" allUniqueName="[Demanda].[@-Distribuidor].[All]" dimensionUniqueName="[Demanda]" displayFolder="" count="2" memberValueDatatype="11" unbalanced="0">
      <fieldsUsage count="2">
        <fieldUsage x="-1"/>
        <fieldUsage x="5"/>
      </fieldsUsage>
    </cacheHierarchy>
    <cacheHierarchy uniqueName="[Demanda].[@-IV-Demanda]" caption="@-IV-Demanda" attribute="1" defaultMemberUniqueName="[Demanda].[@-IV-Demanda].[All]" allUniqueName="[Demanda].[@-IV-Demanda].[All]" dimensionUniqueName="[Demanda]" displayFolder="" count="2" memberValueDatatype="11" unbalanced="0">
      <fieldsUsage count="2">
        <fieldUsage x="-1"/>
        <fieldUsage x="6"/>
      </fieldsUsage>
    </cacheHierarchy>
    <cacheHierarchy uniqueName="[Demanda].[#FK-Email-Gerente]" caption="#FK-Email-Gerente" attribute="1" defaultMemberUniqueName="[Demanda].[#FK-Email-Gerente].[All]" allUniqueName="[Demanda].[#FK-Email-Gerente].[All]" dimensionUniqueName="[Demanda]" displayFolder="" count="0" memberValueDatatype="130" unbalanced="0"/>
    <cacheHierarchy uniqueName="[Demanda].[#FK-Email-Representante-ESP]" caption="#FK-Email-Representante-ESP" attribute="1" defaultMemberUniqueName="[Demanda].[#FK-Email-Representante-ESP].[All]" allUniqueName="[Demanda].[#FK-Email-Representante-ESP].[All]" dimensionUniqueName="[Demanda]" displayFolder="" count="0" memberValueDatatype="130" unbalanced="0"/>
    <cacheHierarchy uniqueName="[Demanda].[#FK-Email-Representante-HSP]" caption="#FK-Email-Representante-HSP" attribute="1" defaultMemberUniqueName="[Demanda].[#FK-Email-Representante-HSP].[All]" allUniqueName="[Demanda].[#FK-Email-Representante-HSP].[All]" dimensionUniqueName="[Demanda]" displayFolder="" count="0" memberValueDatatype="130" unbalanced="0"/>
    <cacheHierarchy uniqueName="[Demanda].[#FK-Email-Representante-EMH]" caption="#FK-Email-Representante-EMH" attribute="1" defaultMemberUniqueName="[Demanda].[#FK-Email-Representante-EMH].[All]" allUniqueName="[Demanda].[#FK-Email-Representante-EMH].[All]" dimensionUniqueName="[Demanda]" displayFolder="" count="0" memberValueDatatype="130" unbalanced="0"/>
    <cacheHierarchy uniqueName="[Demanda].[Demanda-UN]" caption="Demanda-UN" attribute="1" defaultMemberUniqueName="[Demanda].[Demanda-UN].[All]" allUniqueName="[Demanda].[Demanda-UN].[All]" dimensionUniqueName="[Demanda]" displayFolder="" count="0" memberValueDatatype="5" unbalanced="0"/>
    <cacheHierarchy uniqueName="[Demanda].[Demanda-EQ]" caption="Demanda-EQ" attribute="1" defaultMemberUniqueName="[Demanda].[Demanda-EQ].[All]" allUniqueName="[Demanda].[Demanda-EQ].[All]" dimensionUniqueName="[Demanda]" displayFolder="" count="0" memberValueDatatype="5" unbalanced="0"/>
    <cacheHierarchy uniqueName="[Demanda].[Demanda-BRL]" caption="Demanda-BRL" attribute="1" defaultMemberUniqueName="[Demanda].[Demanda-BRL].[All]" allUniqueName="[Demanda].[Demanda-BRL].[All]" dimensionUniqueName="[Demanda]" displayFolder="" count="0" memberValueDatatype="5" unbalanced="0"/>
    <cacheHierarchy uniqueName="[Demanda].[Demanda-IV]" caption="Demanda-IV" attribute="1" defaultMemberUniqueName="[Demanda].[Demanda-IV].[All]" allUniqueName="[Demanda].[Demanda-IV].[All]" dimensionUniqueName="[Demanda]" displayFolder="" count="0" memberValueDatatype="5" unbalanced="0"/>
    <cacheHierarchy uniqueName="[Demanda-IV-REP].[#FK-AnoMes-Unv]" caption="#FK-AnoMes-Unv" attribute="1" defaultMemberUniqueName="[Demanda-IV-REP].[#FK-AnoMes-Unv].[All]" allUniqueName="[Demanda-IV-REP].[#FK-AnoMes-Unv].[All]" dimensionUniqueName="[Demanda-IV-REP]" displayFolder="" count="0" memberValueDatatype="5" unbalanced="0"/>
    <cacheHierarchy uniqueName="[Demanda-IV-REP].[#FK-Email-Representante]" caption="#FK-Email-Representante" attribute="1" defaultMemberUniqueName="[Demanda-IV-REP].[#FK-Email-Representante].[All]" allUniqueName="[Demanda-IV-REP].[#FK-Email-Representante].[All]" dimensionUniqueName="[Demanda-IV-REP]" displayFolder="" count="0" memberValueDatatype="130" unbalanced="0"/>
    <cacheHierarchy uniqueName="[Demanda-IV-REP].[#FK-Cod-Linha]" caption="#FK-Cod-Linha" attribute="1" defaultMemberUniqueName="[Demanda-IV-REP].[#FK-Cod-Linha].[All]" allUniqueName="[Demanda-IV-REP].[#FK-Cod-Linha].[All]" dimensionUniqueName="[Demanda-IV-REP]" displayFolder="" count="0" memberValueDatatype="5" unbalanced="0"/>
    <cacheHierarchy uniqueName="[Demanda-IV-REP].[@-ESP]" caption="@-ESP" attribute="1" defaultMemberUniqueName="[Demanda-IV-REP].[@-ESP].[All]" allUniqueName="[Demanda-IV-REP].[@-ESP].[All]" dimensionUniqueName="[Demanda-IV-REP]" displayFolder="" count="0" memberValueDatatype="11" unbalanced="0"/>
    <cacheHierarchy uniqueName="[Demanda-IV-REP].[@-HSP]" caption="@-HSP" attribute="1" defaultMemberUniqueName="[Demanda-IV-REP].[@-HSP].[All]" allUniqueName="[Demanda-IV-REP].[@-HSP].[All]" dimensionUniqueName="[Demanda-IV-REP]" displayFolder="" count="0" memberValueDatatype="11" unbalanced="0"/>
    <cacheHierarchy uniqueName="[Demanda-IV-REP].[@-EMH]" caption="@-EMH" attribute="1" defaultMemberUniqueName="[Demanda-IV-REP].[@-EMH].[All]" allUniqueName="[Demanda-IV-REP].[@-EMH].[All]" dimensionUniqueName="[Demanda-IV-REP]" displayFolder="" count="0" memberValueDatatype="11" unbalanced="0"/>
    <cacheHierarchy uniqueName="[Demanda-IV-REP].[Demanda-IV]" caption="Demanda-IV" attribute="1" defaultMemberUniqueName="[Demanda-IV-REP].[Demanda-IV].[All]" allUniqueName="[Demanda-IV-REP].[Demanda-IV].[All]" dimensionUniqueName="[Demanda-IV-REP]" displayFolder="" count="0" memberValueDatatype="5" unbalanced="0"/>
    <cacheHierarchy uniqueName="[Distribuidores].[#PK-CNPJ-Distribuidor]" caption="#PK-CNPJ-Distribuidor" attribute="1" defaultMemberUniqueName="[Distribuidores].[#PK-CNPJ-Distribuidor].[All]" allUniqueName="[Distribuidores].[#PK-CNPJ-Distribuidor].[All]" dimensionUniqueName="[Distribuidores]" displayFolder="" count="0" memberValueDatatype="5" unbalanced="0"/>
    <cacheHierarchy uniqueName="[Distribuidores].[#FK-Id-Grupo-Distribuidor]" caption="#FK-Id-Grupo-Distribuidor" attribute="1" defaultMemberUniqueName="[Distribuidores].[#FK-Id-Grupo-Distribuidor].[All]" allUniqueName="[Distribuidores].[#FK-Id-Grupo-Distribuidor].[All]" dimensionUniqueName="[Distribuidores]" displayFolder="" count="0" memberValueDatatype="5" unbalanced="0"/>
    <cacheHierarchy uniqueName="[Distribuidores].[Distribuidor]" caption="Distribuidor" attribute="1" defaultMemberUniqueName="[Distribuidores].[Distribuidor].[All]" allUniqueName="[Distribuidores].[Distribuidor].[All]" dimensionUniqueName="[Distribuidores]" displayFolder="" count="0" memberValueDatatype="130" unbalanced="0"/>
    <cacheHierarchy uniqueName="[Distribuidores].[Grupo-Distribuidor]" caption="Grupo-Distribuidor" attribute="1" defaultMemberUniqueName="[Distribuidores].[Grupo-Distribuidor].[All]" allUniqueName="[Distribuidores].[Grupo-Distribuidor].[All]" dimensionUniqueName="[Distribuidores]" displayFolder="" count="0" memberValueDatatype="130" unbalanced="0"/>
    <cacheHierarchy uniqueName="[Distribuidores].[@-Ativo-Distribuidor]" caption="@-Ativo-Distribuidor" attribute="1" defaultMemberUniqueName="[Distribuidores].[@-Ativo-Distribuidor].[All]" allUniqueName="[Distribuidores].[@-Ativo-Distribuidor].[All]" dimensionUniqueName="[Distribuidores]" displayFolder="" count="0" memberValueDatatype="11" unbalanced="0"/>
    <cacheHierarchy uniqueName="[Distribuidores].[@-Ativo-Grupo-Distribuidor]" caption="@-Ativo-Grupo-Distribuidor" attribute="1" defaultMemberUniqueName="[Distribuidores].[@-Ativo-Grupo-Distribuidor].[All]" allUniqueName="[Distribuidores].[@-Ativo-Grupo-Distribuidor].[All]" dimensionUniqueName="[Distribuidores]" displayFolder="" count="0" memberValueDatatype="11" unbalanced="0"/>
    <cacheHierarchy uniqueName="[Estabelecimentos].[#PK-CNPJ-Estabelecimento]" caption="#PK-CNPJ-Estabelecimento" attribute="1" defaultMemberUniqueName="[Estabelecimentos].[#PK-CNPJ-Estabelecimento].[All]" allUniqueName="[Estabelecimentos].[#PK-CNPJ-Estabelecimento].[All]" dimensionUniqueName="[Estabelecimentos]" displayFolder="" count="0" memberValueDatatype="5" unbalanced="0"/>
    <cacheHierarchy uniqueName="[Estabelecimentos].[ESTABELECIMENTO]" caption="ESTABELECIMENTO" attribute="1" defaultMemberUniqueName="[Estabelecimentos].[ESTABELECIMENTO].[All]" allUniqueName="[Estabelecimentos].[ESTABELECIMENTO].[All]" dimensionUniqueName="[Estabelecimentos]" displayFolder="" count="0" memberValueDatatype="130" unbalanced="0"/>
    <cacheHierarchy uniqueName="[Estabelecimentos].[Estabelecimento-CNPJ]" caption="Estabelecimento-CNPJ" attribute="1" defaultMemberUniqueName="[Estabelecimentos].[Estabelecimento-CNPJ].[All]" allUniqueName="[Estabelecimentos].[Estabelecimento-CNPJ].[All]" dimensionUniqueName="[Estabelecimentos]" displayFolder="" count="2" memberValueDatatype="130" unbalanced="0">
      <fieldsUsage count="2">
        <fieldUsage x="-1"/>
        <fieldUsage x="2"/>
      </fieldsUsage>
    </cacheHierarchy>
    <cacheHierarchy uniqueName="[Estabelecimentos].[CIDADE]" caption="CIDADE" attribute="1" defaultMemberUniqueName="[Estabelecimentos].[CIDADE].[All]" allUniqueName="[Estabelecimentos].[CIDADE].[All]" dimensionUniqueName="[Estabelecimentos]" displayFolder="" count="0" memberValueDatatype="130" unbalanced="0"/>
    <cacheHierarchy uniqueName="[Estabelecimentos].[UF]" caption="UF" attribute="1" defaultMemberUniqueName="[Estabelecimentos].[UF].[All]" allUniqueName="[Estabelecimentos].[UF].[All]" dimensionUniqueName="[Estabelecimentos]" displayFolder="" count="0" memberValueDatatype="130" unbalanced="0"/>
    <cacheHierarchy uniqueName="[Estabelecimentos].[ESFERA]" caption="ESFERA" attribute="1" defaultMemberUniqueName="[Estabelecimentos].[ESFERA].[All]" allUniqueName="[Estabelecimentos].[ESFERA].[All]" dimensionUniqueName="[Estabelecimentos]" displayFolder="" count="0" memberValueDatatype="130" unbalanced="0"/>
    <cacheHierarchy uniqueName="[Estabelecimentos].[@-Ativo]" caption="@-Ativo" attribute="1" defaultMemberUniqueName="[Estabelecimentos].[@-Ativo].[All]" allUniqueName="[Estabelecimentos].[@-Ativo].[All]" dimensionUniqueName="[Estabelecimentos]" displayFolder="" count="0" memberValueDatatype="11" unbalanced="0"/>
    <cacheHierarchy uniqueName="[Estabelecimentos].[@-Ministerio]" caption="@-Ministerio" attribute="1" defaultMemberUniqueName="[Estabelecimentos].[@-Ministerio].[All]" allUniqueName="[Estabelecimentos].[@-Ministerio].[All]" dimensionUniqueName="[Estabelecimentos]" displayFolder="" count="0" memberValueDatatype="11" unbalanced="0"/>
    <cacheHierarchy uniqueName="[Estabelecimentos].[@-Distribuidor]" caption="@-Distribuidor" attribute="1" defaultMemberUniqueName="[Estabelecimentos].[@-Distribuidor].[All]" allUniqueName="[Estabelecimentos].[@-Distribuidor].[All]" dimensionUniqueName="[Estabelecimentos]" displayFolder="" count="0" memberValueDatatype="11" unbalanced="0"/>
    <cacheHierarchy uniqueName="[Estabelecimentos].[#FK-Email-Gerente]" caption="#FK-Email-Gerente" attribute="1" defaultMemberUniqueName="[Estabelecimentos].[#FK-Email-Gerente].[All]" allUniqueName="[Estabelecimentos].[#FK-Email-Gerente].[All]" dimensionUniqueName="[Estabelecimentos]" displayFolder="" count="0" memberValueDatatype="130" unbalanced="0"/>
    <cacheHierarchy uniqueName="[Estabelecimentos].[#FK-Email-Representante-ESP]" caption="#FK-Email-Representante-ESP" attribute="1" defaultMemberUniqueName="[Estabelecimentos].[#FK-Email-Representante-ESP].[All]" allUniqueName="[Estabelecimentos].[#FK-Email-Representante-ESP].[All]" dimensionUniqueName="[Estabelecimentos]" displayFolder="" count="0" memberValueDatatype="130" unbalanced="0"/>
    <cacheHierarchy uniqueName="[Estabelecimentos].[#FK-Email-Representante-HSP]" caption="#FK-Email-Representante-HSP" attribute="1" defaultMemberUniqueName="[Estabelecimentos].[#FK-Email-Representante-HSP].[All]" allUniqueName="[Estabelecimentos].[#FK-Email-Representante-HSP].[All]" dimensionUniqueName="[Estabelecimentos]" displayFolder="" count="0" memberValueDatatype="130" unbalanced="0"/>
    <cacheHierarchy uniqueName="[Estabelecimentos].[#FK-Email-Representante-EMH]" caption="#FK-Email-Representante-EMH" attribute="1" defaultMemberUniqueName="[Estabelecimentos].[#FK-Email-Representante-EMH].[All]" allUniqueName="[Estabelecimentos].[#FK-Email-Representante-EMH].[All]" dimensionUniqueName="[Estabelecimentos]" displayFolder="" count="0" memberValueDatatype="130" unbalanced="0"/>
    <cacheHierarchy uniqueName="[Gerentes].[#FK-Email-Gerente]" caption="#FK-Email-Gerente" attribute="1" defaultMemberUniqueName="[Gerentes].[#FK-Email-Gerente].[All]" allUniqueName="[Gerentes].[#FK-Email-Gerente].[All]" dimensionUniqueName="[Gerentes]" displayFolder="" count="2" memberValueDatatype="130" unbalanced="0">
      <fieldsUsage count="2">
        <fieldUsage x="-1"/>
        <fieldUsage x="7"/>
      </fieldsUsage>
    </cacheHierarchy>
    <cacheHierarchy uniqueName="[Gerentes].[Gerente]" caption="Gerente" attribute="1" defaultMemberUniqueName="[Gerentes].[Gerente].[All]" allUniqueName="[Gerentes].[Gerente].[All]" dimensionUniqueName="[Gerentes]" displayFolder="" count="0" memberValueDatatype="130" unbalanced="0"/>
    <cacheHierarchy uniqueName="[Gerentes].[@-Ativo]" caption="@-Ativo" attribute="1" defaultMemberUniqueName="[Gerentes].[@-Ativo].[All]" allUniqueName="[Gerentes].[@-Ativo].[All]" dimensionUniqueName="[Gerentes]" displayFolder="" count="0" memberValueDatatype="11" unbalanced="0"/>
    <cacheHierarchy uniqueName="[Gerentes].[@-Calculo-IV]" caption="@-Calculo-IV" attribute="1" defaultMemberUniqueName="[Gerentes].[@-Calculo-IV].[All]" allUniqueName="[Gerentes].[@-Calculo-IV].[All]" dimensionUniqueName="[Gerentes]" displayFolder="" count="2" memberValueDatatype="11" unbalanced="0">
      <fieldsUsage count="2">
        <fieldUsage x="-1"/>
        <fieldUsage x="8"/>
      </fieldsUsage>
    </cacheHierarchy>
    <cacheHierarchy uniqueName="[Produtos].[#PK-Cod-Produto]" caption="#PK-Cod-Produto" attribute="1" defaultMemberUniqueName="[Produtos].[#PK-Cod-Produto].[All]" allUniqueName="[Produtos].[#PK-Cod-Produto].[All]" dimensionUniqueName="[Produtos]" displayFolder="" count="0" memberValueDatatype="130" unbalanced="0"/>
    <cacheHierarchy uniqueName="[Produtos].[#FK-Cod-Linha]" caption="#FK-Cod-Linha" attribute="1" defaultMemberUniqueName="[Produtos].[#FK-Cod-Linha].[All]" allUniqueName="[Produtos].[#FK-Cod-Linha].[All]" dimensionUniqueName="[Produtos]" displayFolder="" count="0" memberValueDatatype="5" unbalanced="0"/>
    <cacheHierarchy uniqueName="[Produtos].[Produto]" caption="Produto" attribute="1" defaultMemberUniqueName="[Produtos].[Produto].[All]" allUniqueName="[Produtos].[Produto].[All]" dimensionUniqueName="[Produtos]" displayFolder="" count="0" memberValueDatatype="130" unbalanced="0"/>
    <cacheHierarchy uniqueName="[Produtos].[Linha]" caption="Linha" attribute="1" defaultMemberUniqueName="[Produtos].[Linha].[All]" allUniqueName="[Produtos].[Linha].[All]" dimensionUniqueName="[Produtos]" displayFolder="" count="0" memberValueDatatype="130" unbalanced="0"/>
    <cacheHierarchy uniqueName="[Produtos].[Grupo-IV-Representante]" caption="Grupo-IV-Representante" attribute="1" defaultMemberUniqueName="[Produtos].[Grupo-IV-Representante].[All]" allUniqueName="[Produtos].[Grupo-IV-Representante].[All]" dimensionUniqueName="[Produtos]" displayFolder="" count="0" memberValueDatatype="130" unbalanced="0"/>
    <cacheHierarchy uniqueName="[Produtos].[Grupo-IV-Gerente]" caption="Grupo-IV-Gerente" attribute="1" defaultMemberUniqueName="[Produtos].[Grupo-IV-Gerente].[All]" allUniqueName="[Produtos].[Grupo-IV-Gerente].[All]" dimensionUniqueName="[Produtos]" displayFolder="" count="0" memberValueDatatype="130" unbalanced="0"/>
    <cacheHierarchy uniqueName="[Produtos].[Fator-EQ]" caption="Fator-EQ" attribute="1" defaultMemberUniqueName="[Produtos].[Fator-EQ].[All]" allUniqueName="[Produtos].[Fator-EQ].[All]" dimensionUniqueName="[Produtos]" displayFolder="" count="0" memberValueDatatype="5" unbalanced="0"/>
    <cacheHierarchy uniqueName="[Produtos].[ASP]" caption="ASP" attribute="1" defaultMemberUniqueName="[Produtos].[ASP].[All]" allUniqueName="[Produtos].[ASP].[All]" dimensionUniqueName="[Produtos]" displayFolder="" count="0" memberValueDatatype="5" unbalanced="0"/>
    <cacheHierarchy uniqueName="[Produtos].[@-IV-Venda]" caption="@-IV-Venda" attribute="1" defaultMemberUniqueName="[Produtos].[@-IV-Venda].[All]" allUniqueName="[Produtos].[@-IV-Venda].[All]" dimensionUniqueName="[Produtos]" displayFolder="" count="0" memberValueDatatype="11" unbalanced="0"/>
    <cacheHierarchy uniqueName="[Produtos].[@-IV-Demanda]" caption="@-IV-Demanda" attribute="1" defaultMemberUniqueName="[Produtos].[@-IV-Demanda].[All]" allUniqueName="[Produtos].[@-IV-Demanda].[All]" dimensionUniqueName="[Produtos]" displayFolder="" count="0" memberValueDatatype="11" unbalanced="0"/>
    <cacheHierarchy uniqueName="[Produtos].[@-ESP]" caption="@-ESP" attribute="1" defaultMemberUniqueName="[Produtos].[@-ESP].[All]" allUniqueName="[Produtos].[@-ESP].[All]" dimensionUniqueName="[Produtos]" displayFolder="" count="0" memberValueDatatype="11" unbalanced="0"/>
    <cacheHierarchy uniqueName="[Produtos].[@-HSP]" caption="@-HSP" attribute="1" defaultMemberUniqueName="[Produtos].[@-HSP].[All]" allUniqueName="[Produtos].[@-HSP].[All]" dimensionUniqueName="[Produtos]" displayFolder="" count="0" memberValueDatatype="11" unbalanced="0"/>
    <cacheHierarchy uniqueName="[Produtos].[@-EMH]" caption="@-EMH" attribute="1" defaultMemberUniqueName="[Produtos].[@-EMH].[All]" allUniqueName="[Produtos].[@-EMH].[All]" dimensionUniqueName="[Produtos]" displayFolder="" count="0" memberValueDatatype="11" unbalanced="0"/>
    <cacheHierarchy uniqueName="[Produtos].[@-Ativo]" caption="@-Ativo" attribute="1" defaultMemberUniqueName="[Produtos].[@-Ativo].[All]" allUniqueName="[Produtos].[@-Ativo].[All]" dimensionUniqueName="[Produtos]" displayFolder="" count="0" memberValueDatatype="11" unbalanced="0"/>
    <cacheHierarchy uniqueName="[Produtos].[@-Analisar]" caption="@-Analisar" attribute="1" defaultMemberUniqueName="[Produtos].[@-Analisar].[All]" allUniqueName="[Produtos].[@-Analisar].[All]" dimensionUniqueName="[Produtos]" displayFolder="" count="0" memberValueDatatype="11" unbalanced="0"/>
    <cacheHierarchy uniqueName="[Produtos-Linhas].[#PK-Cod-Linha]" caption="#PK-Cod-Linha" attribute="1" defaultMemberUniqueName="[Produtos-Linhas].[#PK-Cod-Linha].[All]" allUniqueName="[Produtos-Linhas].[#PK-Cod-Linha].[All]" dimensionUniqueName="[Produtos-Linhas]" displayFolder="" count="0" memberValueDatatype="5" unbalanced="0"/>
    <cacheHierarchy uniqueName="[Produtos-Linhas].[Linha]" caption="Linha" attribute="1" defaultMemberUniqueName="[Produtos-Linhas].[Linha].[All]" allUniqueName="[Produtos-Linhas].[Linha].[All]" dimensionUniqueName="[Produtos-Linhas]" displayFolder="" count="2" memberValueDatatype="130" unbalanced="0">
      <fieldsUsage count="2">
        <fieldUsage x="-1"/>
        <fieldUsage x="1"/>
      </fieldsUsage>
    </cacheHierarchy>
    <cacheHierarchy uniqueName="[Produtos-Linhas].[Grupo-IV-Representante]" caption="Grupo-IV-Representante" attribute="1" defaultMemberUniqueName="[Produtos-Linhas].[Grupo-IV-Representante].[All]" allUniqueName="[Produtos-Linhas].[Grupo-IV-Representante].[All]" dimensionUniqueName="[Produtos-Linhas]" displayFolder="" count="0" memberValueDatatype="130" unbalanced="0"/>
    <cacheHierarchy uniqueName="[Produtos-Linhas].[Grupo-IV-Gerente]" caption="Grupo-IV-Gerente" attribute="1" defaultMemberUniqueName="[Produtos-Linhas].[Grupo-IV-Gerente].[All]" allUniqueName="[Produtos-Linhas].[Grupo-IV-Gerente].[All]" dimensionUniqueName="[Produtos-Linhas]" displayFolder="" count="0" memberValueDatatype="130" unbalanced="0"/>
    <cacheHierarchy uniqueName="[Produtos-Linhas].[@-IV-Venda]" caption="@-IV-Venda" attribute="1" defaultMemberUniqueName="[Produtos-Linhas].[@-IV-Venda].[All]" allUniqueName="[Produtos-Linhas].[@-IV-Venda].[All]" dimensionUniqueName="[Produtos-Linhas]" displayFolder="" count="0" memberValueDatatype="11" unbalanced="0"/>
    <cacheHierarchy uniqueName="[Produtos-Linhas].[@-IV-Demanda]" caption="@-IV-Demanda" attribute="1" defaultMemberUniqueName="[Produtos-Linhas].[@-IV-Demanda].[All]" allUniqueName="[Produtos-Linhas].[@-IV-Demanda].[All]" dimensionUniqueName="[Produtos-Linhas]" displayFolder="" count="0" memberValueDatatype="11" unbalanced="0"/>
    <cacheHierarchy uniqueName="[Produtos-Linhas].[@-ESP]" caption="@-ESP" attribute="1" defaultMemberUniqueName="[Produtos-Linhas].[@-ESP].[All]" allUniqueName="[Produtos-Linhas].[@-ESP].[All]" dimensionUniqueName="[Produtos-Linhas]" displayFolder="" count="0" memberValueDatatype="11" unbalanced="0"/>
    <cacheHierarchy uniqueName="[Produtos-Linhas].[@-HSP]" caption="@-HSP" attribute="1" defaultMemberUniqueName="[Produtos-Linhas].[@-HSP].[All]" allUniqueName="[Produtos-Linhas].[@-HSP].[All]" dimensionUniqueName="[Produtos-Linhas]" displayFolder="" count="0" memberValueDatatype="11" unbalanced="0"/>
    <cacheHierarchy uniqueName="[Produtos-Linhas].[@-EMH]" caption="@-EMH" attribute="1" defaultMemberUniqueName="[Produtos-Linhas].[@-EMH].[All]" allUniqueName="[Produtos-Linhas].[@-EMH].[All]" dimensionUniqueName="[Produtos-Linhas]" displayFolder="" count="0" memberValueDatatype="11" unbalanced="0"/>
    <cacheHierarchy uniqueName="[Produtos-Linhas].[@-Analisar]" caption="@-Analisar" attribute="1" defaultMemberUniqueName="[Produtos-Linhas].[@-Analisar].[All]" allUniqueName="[Produtos-Linhas].[@-Analisar].[All]" dimensionUniqueName="[Produtos-Linhas]" displayFolder="" count="0" memberValueDatatype="11" unbalanced="0"/>
    <cacheHierarchy uniqueName="[Representantes].[#PK-Email-Representante]" caption="#PK-Email-Representante" attribute="1" defaultMemberUniqueName="[Representantes].[#PK-Email-Representante].[All]" allUniqueName="[Representantes].[#PK-Email-Representante].[All]" dimensionUniqueName="[Representantes]" displayFolder="" count="0" memberValueDatatype="130" unbalanced="0"/>
    <cacheHierarchy uniqueName="[Representantes].[Representante]" caption="Representante" attribute="1" defaultMemberUniqueName="[Representantes].[Representante].[All]" allUniqueName="[Representantes].[Representante].[All]" dimensionUniqueName="[Representantes]" displayFolder="" count="0" memberValueDatatype="130" unbalanced="0"/>
    <cacheHierarchy uniqueName="[Representantes].[#FK-Email-Gerente]" caption="#FK-Email-Gerente" attribute="1" defaultMemberUniqueName="[Representantes].[#FK-Email-Gerente].[All]" allUniqueName="[Representantes].[#FK-Email-Gerente].[All]" dimensionUniqueName="[Representantes]" displayFolder="" count="0" memberValueDatatype="130" unbalanced="0"/>
    <cacheHierarchy uniqueName="[Representantes].[Gerente]" caption="Gerente" attribute="1" defaultMemberUniqueName="[Representantes].[Gerente].[All]" allUniqueName="[Representantes].[Gerente].[All]" dimensionUniqueName="[Representantes]" displayFolder="" count="0" memberValueDatatype="130" unbalanced="0"/>
    <cacheHierarchy uniqueName="[Representantes].[@-HSP]" caption="@-HSP" attribute="1" defaultMemberUniqueName="[Representantes].[@-HSP].[All]" allUniqueName="[Representantes].[@-HSP].[All]" dimensionUniqueName="[Representantes]" displayFolder="" count="0" memberValueDatatype="11" unbalanced="0"/>
    <cacheHierarchy uniqueName="[Representantes].[@-ESP]" caption="@-ESP" attribute="1" defaultMemberUniqueName="[Representantes].[@-ESP].[All]" allUniqueName="[Representantes].[@-ESP].[All]" dimensionUniqueName="[Representantes]" displayFolder="" count="0" memberValueDatatype="11" unbalanced="0"/>
    <cacheHierarchy uniqueName="[Representantes].[@-EMH]" caption="@-EMH" attribute="1" defaultMemberUniqueName="[Representantes].[@-EMH].[All]" allUniqueName="[Representantes].[@-EMH].[All]" dimensionUniqueName="[Representantes]" displayFolder="" count="0" memberValueDatatype="11" unbalanced="0"/>
    <cacheHierarchy uniqueName="[Representantes].[@-Ativo]" caption="@-Ativo" attribute="1" defaultMemberUniqueName="[Representantes].[@-Ativo].[All]" allUniqueName="[Representantes].[@-Ativo].[All]" dimensionUniqueName="[Representantes]" displayFolder="" count="0" memberValueDatatype="11" unbalanced="0"/>
    <cacheHierarchy uniqueName="[Representantes].[@-Calculo-IV]" caption="@-Calculo-IV" attribute="1" defaultMemberUniqueName="[Representantes].[@-Calculo-IV].[All]" allUniqueName="[Representantes].[@-Calculo-IV].[All]" dimensionUniqueName="[Representantes]" displayFolder="" count="0" memberValueDatatype="11" unbalanced="0"/>
    <cacheHierarchy uniqueName="[Representantes-EMH].[#PK-Email-Representante-EMH]" caption="#PK-Email-Representante-EMH" attribute="1" defaultMemberUniqueName="[Representantes-EMH].[#PK-Email-Representante-EMH].[All]" allUniqueName="[Representantes-EMH].[#PK-Email-Representante-EMH].[All]" dimensionUniqueName="[Representantes-EMH]" displayFolder="" count="0" memberValueDatatype="130" unbalanced="0"/>
    <cacheHierarchy uniqueName="[Representantes-EMH].[Representante-EMH]" caption="Representante-EMH" attribute="1" defaultMemberUniqueName="[Representantes-EMH].[Representante-EMH].[All]" allUniqueName="[Representantes-EMH].[Representante-EMH].[All]" dimensionUniqueName="[Representantes-EMH]" displayFolder="" count="0" memberValueDatatype="130" unbalanced="0"/>
    <cacheHierarchy uniqueName="[Representantes-EMH].[#FK-Email-Gerente]" caption="#FK-Email-Gerente" attribute="1" defaultMemberUniqueName="[Representantes-EMH].[#FK-Email-Gerente].[All]" allUniqueName="[Representantes-EMH].[#FK-Email-Gerente].[All]" dimensionUniqueName="[Representantes-EMH]" displayFolder="" count="0" memberValueDatatype="130" unbalanced="0"/>
    <cacheHierarchy uniqueName="[Representantes-EMH].[Gerente]" caption="Gerente" attribute="1" defaultMemberUniqueName="[Representantes-EMH].[Gerente].[All]" allUniqueName="[Representantes-EMH].[Gerente].[All]" dimensionUniqueName="[Representantes-EMH]" displayFolder="" count="0" memberValueDatatype="130" unbalanced="0"/>
    <cacheHierarchy uniqueName="[Representantes-EMH].[@-Ativo]" caption="@-Ativo" attribute="1" defaultMemberUniqueName="[Representantes-EMH].[@-Ativo].[All]" allUniqueName="[Representantes-EMH].[@-Ativo].[All]" dimensionUniqueName="[Representantes-EMH]" displayFolder="" count="0" memberValueDatatype="11" unbalanced="0"/>
    <cacheHierarchy uniqueName="[Representantes-EMH].[@-Calculo-IV]" caption="@-Calculo-IV" attribute="1" defaultMemberUniqueName="[Representantes-EMH].[@-Calculo-IV].[All]" allUniqueName="[Representantes-EMH].[@-Calculo-IV].[All]" dimensionUniqueName="[Representantes-EMH]" displayFolder="" count="0" memberValueDatatype="11" unbalanced="0"/>
    <cacheHierarchy uniqueName="[Representantes-ESP].[#PK-Email-Representante-ESP]" caption="#PK-Email-Representante-ESP" attribute="1" defaultMemberUniqueName="[Representantes-ESP].[#PK-Email-Representante-ESP].[All]" allUniqueName="[Representantes-ESP].[#PK-Email-Representante-ESP].[All]" dimensionUniqueName="[Representantes-ESP]" displayFolder="" count="0" memberValueDatatype="130" unbalanced="0"/>
    <cacheHierarchy uniqueName="[Representantes-ESP].[Representante-ESP]" caption="Representante-ESP" attribute="1" defaultMemberUniqueName="[Representantes-ESP].[Representante-ESP].[All]" allUniqueName="[Representantes-ESP].[Representante-ESP].[All]" dimensionUniqueName="[Representantes-ESP]" displayFolder="" count="0" memberValueDatatype="130" unbalanced="0"/>
    <cacheHierarchy uniqueName="[Representantes-ESP].[#FK-Email-Gerente]" caption="#FK-Email-Gerente" attribute="1" defaultMemberUniqueName="[Representantes-ESP].[#FK-Email-Gerente].[All]" allUniqueName="[Representantes-ESP].[#FK-Email-Gerente].[All]" dimensionUniqueName="[Representantes-ESP]" displayFolder="" count="0" memberValueDatatype="130" unbalanced="0"/>
    <cacheHierarchy uniqueName="[Representantes-ESP].[Gerente]" caption="Gerente" attribute="1" defaultMemberUniqueName="[Representantes-ESP].[Gerente].[All]" allUniqueName="[Representantes-ESP].[Gerente].[All]" dimensionUniqueName="[Representantes-ESP]" displayFolder="" count="0" memberValueDatatype="130" unbalanced="0"/>
    <cacheHierarchy uniqueName="[Representantes-ESP].[@-Ativo]" caption="@-Ativo" attribute="1" defaultMemberUniqueName="[Representantes-ESP].[@-Ativo].[All]" allUniqueName="[Representantes-ESP].[@-Ativo].[All]" dimensionUniqueName="[Representantes-ESP]" displayFolder="" count="0" memberValueDatatype="11" unbalanced="0"/>
    <cacheHierarchy uniqueName="[Representantes-ESP].[@-Calculo-IV]" caption="@-Calculo-IV" attribute="1" defaultMemberUniqueName="[Representantes-ESP].[@-Calculo-IV].[All]" allUniqueName="[Representantes-ESP].[@-Calculo-IV].[All]" dimensionUniqueName="[Representantes-ESP]" displayFolder="" count="0" memberValueDatatype="11" unbalanced="0"/>
    <cacheHierarchy uniqueName="[Representantes-HSP].[#PK-Email-Representante-HSP]" caption="#PK-Email-Representante-HSP" attribute="1" defaultMemberUniqueName="[Representantes-HSP].[#PK-Email-Representante-HSP].[All]" allUniqueName="[Representantes-HSP].[#PK-Email-Representante-HSP].[All]" dimensionUniqueName="[Representantes-HSP]" displayFolder="" count="0" memberValueDatatype="130" unbalanced="0"/>
    <cacheHierarchy uniqueName="[Representantes-HSP].[Representante-HSP]" caption="Representante-HSP" attribute="1" defaultMemberUniqueName="[Representantes-HSP].[Representante-HSP].[All]" allUniqueName="[Representantes-HSP].[Representante-HSP].[All]" dimensionUniqueName="[Representantes-HSP]" displayFolder="" count="0" memberValueDatatype="130" unbalanced="0"/>
    <cacheHierarchy uniqueName="[Representantes-HSP].[#FK-Email-Gerente]" caption="#FK-Email-Gerente" attribute="1" defaultMemberUniqueName="[Representantes-HSP].[#FK-Email-Gerente].[All]" allUniqueName="[Representantes-HSP].[#FK-Email-Gerente].[All]" dimensionUniqueName="[Representantes-HSP]" displayFolder="" count="0" memberValueDatatype="130" unbalanced="0"/>
    <cacheHierarchy uniqueName="[Representantes-HSP].[Gerente]" caption="Gerente" attribute="1" defaultMemberUniqueName="[Representantes-HSP].[Gerente].[All]" allUniqueName="[Representantes-HSP].[Gerente].[All]" dimensionUniqueName="[Representantes-HSP]" displayFolder="" count="0" memberValueDatatype="130" unbalanced="0"/>
    <cacheHierarchy uniqueName="[Representantes-HSP].[@-Ativo]" caption="@-Ativo" attribute="1" defaultMemberUniqueName="[Representantes-HSP].[@-Ativo].[All]" allUniqueName="[Representantes-HSP].[@-Ativo].[All]" dimensionUniqueName="[Representantes-HSP]" displayFolder="" count="0" memberValueDatatype="11" unbalanced="0"/>
    <cacheHierarchy uniqueName="[Representantes-HSP].[@-Calculo-IV]" caption="@-Calculo-IV" attribute="1" defaultMemberUniqueName="[Representantes-HSP].[@-Calculo-IV].[All]" allUniqueName="[Representantes-HSP].[@-Calculo-IV].[All]" dimensionUniqueName="[Representantes-HSP]" displayFolder="" count="0" memberValueDatatype="11" unbalanced="0"/>
    <cacheHierarchy uniqueName="[Representantes-IV].[#PK-Email-Representante]" caption="#PK-Email-Representante" attribute="1" defaultMemberUniqueName="[Representantes-IV].[#PK-Email-Representante].[All]" allUniqueName="[Representantes-IV].[#PK-Email-Representante].[All]" dimensionUniqueName="[Representantes-IV]" displayFolder="" count="0" memberValueDatatype="130" unbalanced="0"/>
    <cacheHierarchy uniqueName="[Representantes-IV].[Representante]" caption="Representante" attribute="1" defaultMemberUniqueName="[Representantes-IV].[Representante].[All]" allUniqueName="[Representantes-IV].[Representante].[All]" dimensionUniqueName="[Representantes-IV]" displayFolder="" count="0" memberValueDatatype="130" unbalanced="0"/>
    <cacheHierarchy uniqueName="[Representantes-IV].[@-Calculo-IV]" caption="@-Calculo-IV" attribute="1" defaultMemberUniqueName="[Representantes-IV].[@-Calculo-IV].[All]" allUniqueName="[Representantes-IV].[@-Calculo-IV].[All]" dimensionUniqueName="[Representantes-IV]" displayFolder="" count="0" memberValueDatatype="11" unbalanced="0"/>
    <cacheHierarchy uniqueName="[Representantes-IV].[@-HSP]" caption="@-HSP" attribute="1" defaultMemberUniqueName="[Representantes-IV].[@-HSP].[All]" allUniqueName="[Representantes-IV].[@-HSP].[All]" dimensionUniqueName="[Representantes-IV]" displayFolder="" count="0" memberValueDatatype="11" unbalanced="0"/>
    <cacheHierarchy uniqueName="[Representantes-IV].[@-ESP]" caption="@-ESP" attribute="1" defaultMemberUniqueName="[Representantes-IV].[@-ESP].[All]" allUniqueName="[Representantes-IV].[@-ESP].[All]" dimensionUniqueName="[Representantes-IV]" displayFolder="" count="0" memberValueDatatype="11" unbalanced="0"/>
    <cacheHierarchy uniqueName="[Representantes-IV].[@-EMH]" caption="@-EMH" attribute="1" defaultMemberUniqueName="[Representantes-IV].[@-EMH].[All]" allUniqueName="[Representantes-IV].[@-EMH].[All]" dimensionUniqueName="[Representantes-IV]" displayFolder="" count="0" memberValueDatatype="11" unbalanced="0"/>
    <cacheHierarchy uniqueName="[Valores-Gerentes].[#PK-Cobertura]" caption="#PK-Cobertura" attribute="1" defaultMemberUniqueName="[Valores-Gerentes].[#PK-Cobertura].[All]" allUniqueName="[Valores-Gerentes].[#PK-Cobertura].[All]" dimensionUniqueName="[Valores-Gerentes]" displayFolder="" count="0" memberValueDatatype="5" unbalanced="0"/>
    <cacheHierarchy uniqueName="[Valores-Gerentes].[Valor-Base]" caption="Valor-Base" attribute="1" defaultMemberUniqueName="[Valores-Gerentes].[Valor-Base].[All]" allUniqueName="[Valores-Gerentes].[Valor-Base].[All]" dimensionUniqueName="[Valores-Gerentes]" displayFolder="" count="0" memberValueDatatype="5" unbalanced="0"/>
    <cacheHierarchy uniqueName="[Valores-Gerentes].[05.00%-Demanda-BERINERT]" caption="05.00%-Demanda-BERINERT" attribute="1" defaultMemberUniqueName="[Valores-Gerentes].[05.00%-Demanda-BERINERT].[All]" allUniqueName="[Valores-Gerentes].[05.00%-Demanda-BERINERT].[All]" dimensionUniqueName="[Valores-Gerentes]" displayFolder="" count="0" memberValueDatatype="5" unbalanced="0"/>
    <cacheHierarchy uniqueName="[Valores-Gerentes].[02.50%-Demanda-BERIPLEX]" caption="02.50%-Demanda-BERIPLEX" attribute="1" defaultMemberUniqueName="[Valores-Gerentes].[02.50%-Demanda-BERIPLEX].[All]" allUniqueName="[Valores-Gerentes].[02.50%-Demanda-BERIPLEX].[All]" dimensionUniqueName="[Valores-Gerentes]" displayFolder="" count="0" memberValueDatatype="5" unbalanced="0"/>
    <cacheHierarchy uniqueName="[Valores-Gerentes].[02.50%-Demanda-HAEMO]" caption="02.50%-Demanda-HAEMO" attribute="1" defaultMemberUniqueName="[Valores-Gerentes].[02.50%-Demanda-HAEMO].[All]" allUniqueName="[Valores-Gerentes].[02.50%-Demanda-HAEMO].[All]" dimensionUniqueName="[Valores-Gerentes]" displayFolder="" count="0" memberValueDatatype="5" unbalanced="0"/>
    <cacheHierarchy uniqueName="[Valores-Gerentes].[10.00%-Demanda-HIZENTRA]" caption="10.00%-Demanda-HIZENTRA" attribute="1" defaultMemberUniqueName="[Valores-Gerentes].[10.00%-Demanda-HIZENTRA].[All]" allUniqueName="[Valores-Gerentes].[10.00%-Demanda-HIZENTRA].[All]" dimensionUniqueName="[Valores-Gerentes]" displayFolder="" count="0" memberValueDatatype="5" unbalanced="0"/>
    <cacheHierarchy uniqueName="[Valores-Gerentes].[05.00%-Demanda-PRIVIGEN]" caption="05.00%-Demanda-PRIVIGEN" attribute="1" defaultMemberUniqueName="[Valores-Gerentes].[05.00%-Demanda-PRIVIGEN].[All]" allUniqueName="[Valores-Gerentes].[05.00%-Demanda-PRIVIGEN].[All]" dimensionUniqueName="[Valores-Gerentes]" displayFolder="" count="0" memberValueDatatype="5" unbalanced="0"/>
    <cacheHierarchy uniqueName="[Valores-Gerentes].[05.00%-Venda]" caption="05.00%-Venda" attribute="1" defaultMemberUniqueName="[Valores-Gerentes].[05.00%-Venda].[All]" allUniqueName="[Valores-Gerentes].[05.00%-Venda].[All]" dimensionUniqueName="[Valores-Gerentes]" displayFolder="" count="0" memberValueDatatype="5" unbalanced="0"/>
    <cacheHierarchy uniqueName="[Valores-Gerentes].[10.00%-Visitas]" caption="10.00%-Visitas" attribute="1" defaultMemberUniqueName="[Valores-Gerentes].[10.00%-Visitas].[All]" allUniqueName="[Valores-Gerentes].[10.00%-Visitas].[All]" dimensionUniqueName="[Valores-Gerentes]" displayFolder="" count="0" memberValueDatatype="5" unbalanced="0"/>
    <cacheHierarchy uniqueName="[Valores-Gerentes].[10.00%-Connect-MInd]" caption="10.00%-Connect-MInd" attribute="1" defaultMemberUniqueName="[Valores-Gerentes].[10.00%-Connect-MInd].[All]" allUniqueName="[Valores-Gerentes].[10.00%-Connect-MInd].[All]" dimensionUniqueName="[Valores-Gerentes]" displayFolder="" count="0" memberValueDatatype="5" unbalanced="0"/>
    <cacheHierarchy uniqueName="[Valores-Gerentes].[30.00%-Gerente-Contas]" caption="30.00%-Gerente-Contas" attribute="1" defaultMemberUniqueName="[Valores-Gerentes].[30.00%-Gerente-Contas].[All]" allUniqueName="[Valores-Gerentes].[30.00%-Gerente-Contas].[All]" dimensionUniqueName="[Valores-Gerentes]" displayFolder="" count="0" memberValueDatatype="5" unbalanced="0"/>
    <cacheHierarchy uniqueName="[Valores-Gerentes].[10.00%-Plateau]" caption="10.00%-Plateau" attribute="1" defaultMemberUniqueName="[Valores-Gerentes].[10.00%-Plateau].[All]" allUniqueName="[Valores-Gerentes].[10.00%-Plateau].[All]" dimensionUniqueName="[Valores-Gerentes]" displayFolder="" count="0" memberValueDatatype="5" unbalanced="0"/>
    <cacheHierarchy uniqueName="[Valores-Gerentes].[10.00%-Compliance]" caption="10.00%-Compliance" attribute="1" defaultMemberUniqueName="[Valores-Gerentes].[10.00%-Compliance].[All]" allUniqueName="[Valores-Gerentes].[10.00%-Compliance].[All]" dimensionUniqueName="[Valores-Gerentes]" displayFolder="" count="0" memberValueDatatype="5" unbalanced="0"/>
    <cacheHierarchy uniqueName="[Valores-Gerentes].[Check]" caption="Check" attribute="1" defaultMemberUniqueName="[Valores-Gerentes].[Check].[All]" allUniqueName="[Valores-Gerentes].[Check].[All]" dimensionUniqueName="[Valores-Gerentes]" displayFolder="" count="0" memberValueDatatype="130" unbalanced="0"/>
    <cacheHierarchy uniqueName="[Valores-Representantes-EMH].[#PK-Cobertura]" caption="#PK-Cobertura" attribute="1" defaultMemberUniqueName="[Valores-Representantes-EMH].[#PK-Cobertura].[All]" allUniqueName="[Valores-Representantes-EMH].[#PK-Cobertura].[All]" dimensionUniqueName="[Valores-Representantes-EMH]" displayFolder="" count="0" memberValueDatatype="5" unbalanced="0"/>
    <cacheHierarchy uniqueName="[Valores-Representantes-EMH].[Valor-Base]" caption="Valor-Base" attribute="1" defaultMemberUniqueName="[Valores-Representantes-EMH].[Valor-Base].[All]" allUniqueName="[Valores-Representantes-EMH].[Valor-Base].[All]" dimensionUniqueName="[Valores-Representantes-EMH]" displayFolder="" count="0" memberValueDatatype="5" unbalanced="0"/>
    <cacheHierarchy uniqueName="[Valores-Representantes-EMH].[05.00%-Demanda-BERINERT]" caption="05.00%-Demanda-BERINERT" attribute="1" defaultMemberUniqueName="[Valores-Representantes-EMH].[05.00%-Demanda-BERINERT].[All]" allUniqueName="[Valores-Representantes-EMH].[05.00%-Demanda-BERINERT].[All]" dimensionUniqueName="[Valores-Representantes-EMH]" displayFolder="" count="0" memberValueDatatype="5" unbalanced="0"/>
    <cacheHierarchy uniqueName="[Valores-Representantes-EMH].[02.50%-Demanda-BERIPLEX]" caption="02.50%-Demanda-BERIPLEX" attribute="1" defaultMemberUniqueName="[Valores-Representantes-EMH].[02.50%-Demanda-BERIPLEX].[All]" allUniqueName="[Valores-Representantes-EMH].[02.50%-Demanda-BERIPLEX].[All]" dimensionUniqueName="[Valores-Representantes-EMH]" displayFolder="" count="0" memberValueDatatype="5" unbalanced="0"/>
    <cacheHierarchy uniqueName="[Valores-Representantes-EMH].[02.50%-Demanda-HAEMO]" caption="02.50%-Demanda-HAEMO" attribute="1" defaultMemberUniqueName="[Valores-Representantes-EMH].[02.50%-Demanda-HAEMO].[All]" allUniqueName="[Valores-Representantes-EMH].[02.50%-Demanda-HAEMO].[All]" dimensionUniqueName="[Valores-Representantes-EMH]" displayFolder="" count="0" memberValueDatatype="5" unbalanced="0"/>
    <cacheHierarchy uniqueName="[Valores-Representantes-EMH].[10.00%-Demanda-HIZENTRA]" caption="10.00%-Demanda-HIZENTRA" attribute="1" defaultMemberUniqueName="[Valores-Representantes-EMH].[10.00%-Demanda-HIZENTRA].[All]" allUniqueName="[Valores-Representantes-EMH].[10.00%-Demanda-HIZENTRA].[All]" dimensionUniqueName="[Valores-Representantes-EMH]" displayFolder="" count="0" memberValueDatatype="5" unbalanced="0"/>
    <cacheHierarchy uniqueName="[Valores-Representantes-EMH].[05.00%-Demanda-PRIVIGEN]" caption="05.00%-Demanda-PRIVIGEN" attribute="1" defaultMemberUniqueName="[Valores-Representantes-EMH].[05.00%-Demanda-PRIVIGEN].[All]" allUniqueName="[Valores-Representantes-EMH].[05.00%-Demanda-PRIVIGEN].[All]" dimensionUniqueName="[Valores-Representantes-EMH]" displayFolder="" count="0" memberValueDatatype="5" unbalanced="0"/>
    <cacheHierarchy uniqueName="[Valores-Representantes-EMH].[05.00%-Venda]" caption="05.00%-Venda" attribute="1" defaultMemberUniqueName="[Valores-Representantes-EMH].[05.00%-Venda].[All]" allUniqueName="[Valores-Representantes-EMH].[05.00%-Venda].[All]" dimensionUniqueName="[Valores-Representantes-EMH]" displayFolder="" count="0" memberValueDatatype="5" unbalanced="0"/>
    <cacheHierarchy uniqueName="[Valores-Representantes-EMH].[10.00%-Visitas]" caption="10.00%-Visitas" attribute="1" defaultMemberUniqueName="[Valores-Representantes-EMH].[10.00%-Visitas].[All]" allUniqueName="[Valores-Representantes-EMH].[10.00%-Visitas].[All]" dimensionUniqueName="[Valores-Representantes-EMH]" displayFolder="" count="0" memberValueDatatype="5" unbalanced="0"/>
    <cacheHierarchy uniqueName="[Valores-Representantes-EMH].[10.00%-Connect-MInd]" caption="10.00%-Connect-MInd" attribute="1" defaultMemberUniqueName="[Valores-Representantes-EMH].[10.00%-Connect-MInd].[All]" allUniqueName="[Valores-Representantes-EMH].[10.00%-Connect-MInd].[All]" dimensionUniqueName="[Valores-Representantes-EMH]" displayFolder="" count="0" memberValueDatatype="5" unbalanced="0"/>
    <cacheHierarchy uniqueName="[Valores-Representantes-EMH].[30.00%-Gerente-Contas]" caption="30.00%-Gerente-Contas" attribute="1" defaultMemberUniqueName="[Valores-Representantes-EMH].[30.00%-Gerente-Contas].[All]" allUniqueName="[Valores-Representantes-EMH].[30.00%-Gerente-Contas].[All]" dimensionUniqueName="[Valores-Representantes-EMH]" displayFolder="" count="0" memberValueDatatype="5" unbalanced="0"/>
    <cacheHierarchy uniqueName="[Valores-Representantes-EMH].[10.00%-Plateau]" caption="10.00%-Plateau" attribute="1" defaultMemberUniqueName="[Valores-Representantes-EMH].[10.00%-Plateau].[All]" allUniqueName="[Valores-Representantes-EMH].[10.00%-Plateau].[All]" dimensionUniqueName="[Valores-Representantes-EMH]" displayFolder="" count="0" memberValueDatatype="5" unbalanced="0"/>
    <cacheHierarchy uniqueName="[Valores-Representantes-EMH].[10.00%-Compliance]" caption="10.00%-Compliance" attribute="1" defaultMemberUniqueName="[Valores-Representantes-EMH].[10.00%-Compliance].[All]" allUniqueName="[Valores-Representantes-EMH].[10.00%-Compliance].[All]" dimensionUniqueName="[Valores-Representantes-EMH]" displayFolder="" count="0" memberValueDatatype="5" unbalanced="0"/>
    <cacheHierarchy uniqueName="[Valores-Representantes-EMH].[Check]" caption="Check" attribute="1" defaultMemberUniqueName="[Valores-Representantes-EMH].[Check].[All]" allUniqueName="[Valores-Representantes-EMH].[Check].[All]" dimensionUniqueName="[Valores-Representantes-EMH]" displayFolder="" count="0" memberValueDatatype="130" unbalanced="0"/>
    <cacheHierarchy uniqueName="[Valores-Representantes-ESP].[#PK-Cobertura]" caption="#PK-Cobertura" attribute="1" defaultMemberUniqueName="[Valores-Representantes-ESP].[#PK-Cobertura].[All]" allUniqueName="[Valores-Representantes-ESP].[#PK-Cobertura].[All]" dimensionUniqueName="[Valores-Representantes-ESP]" displayFolder="" count="0" memberValueDatatype="5" unbalanced="0"/>
    <cacheHierarchy uniqueName="[Valores-Representantes-ESP].[Valor-Base]" caption="Valor-Base" attribute="1" defaultMemberUniqueName="[Valores-Representantes-ESP].[Valor-Base].[All]" allUniqueName="[Valores-Representantes-ESP].[Valor-Base].[All]" dimensionUniqueName="[Valores-Representantes-ESP]" displayFolder="" count="0" memberValueDatatype="5" unbalanced="0"/>
    <cacheHierarchy uniqueName="[Valores-Representantes-ESP].[05.00%-Demanda-BERINERT]" caption="05.00%-Demanda-BERINERT" attribute="1" defaultMemberUniqueName="[Valores-Representantes-ESP].[05.00%-Demanda-BERINERT].[All]" allUniqueName="[Valores-Representantes-ESP].[05.00%-Demanda-BERINERT].[All]" dimensionUniqueName="[Valores-Representantes-ESP]" displayFolder="" count="0" memberValueDatatype="5" unbalanced="0"/>
    <cacheHierarchy uniqueName="[Valores-Representantes-ESP].[00.00%-Demanda-BERIPLEX]" caption="00.00%-Demanda-BERIPLEX" attribute="1" defaultMemberUniqueName="[Valores-Representantes-ESP].[00.00%-Demanda-BERIPLEX].[All]" allUniqueName="[Valores-Representantes-ESP].[00.00%-Demanda-BERIPLEX].[All]" dimensionUniqueName="[Valores-Representantes-ESP]" displayFolder="" count="0" memberValueDatatype="5" unbalanced="0"/>
    <cacheHierarchy uniqueName="[Valores-Representantes-ESP].[00.00%-Demanda-HAEMO]" caption="00.00%-Demanda-HAEMO" attribute="1" defaultMemberUniqueName="[Valores-Representantes-ESP].[00.00%-Demanda-HAEMO].[All]" allUniqueName="[Valores-Representantes-ESP].[00.00%-Demanda-HAEMO].[All]" dimensionUniqueName="[Valores-Representantes-ESP]" displayFolder="" count="0" memberValueDatatype="5" unbalanced="0"/>
    <cacheHierarchy uniqueName="[Valores-Representantes-ESP].[15.00%-Demanda-HIZENTRA]" caption="15.00%-Demanda-HIZENTRA" attribute="1" defaultMemberUniqueName="[Valores-Representantes-ESP].[15.00%-Demanda-HIZENTRA].[All]" allUniqueName="[Valores-Representantes-ESP].[15.00%-Demanda-HIZENTRA].[All]" dimensionUniqueName="[Valores-Representantes-ESP]" displayFolder="" count="0" memberValueDatatype="5" unbalanced="0"/>
    <cacheHierarchy uniqueName="[Valores-Representantes-ESP].[05.00%-Demanda-PRIVIGEN]" caption="05.00%-Demanda-PRIVIGEN" attribute="1" defaultMemberUniqueName="[Valores-Representantes-ESP].[05.00%-Demanda-PRIVIGEN].[All]" allUniqueName="[Valores-Representantes-ESP].[05.00%-Demanda-PRIVIGEN].[All]" dimensionUniqueName="[Valores-Representantes-ESP]" displayFolder="" count="0" memberValueDatatype="5" unbalanced="0"/>
    <cacheHierarchy uniqueName="[Valores-Representantes-ESP].[05.00%-Venda]" caption="05.00%-Venda" attribute="1" defaultMemberUniqueName="[Valores-Representantes-ESP].[05.00%-Venda].[All]" allUniqueName="[Valores-Representantes-ESP].[05.00%-Venda].[All]" dimensionUniqueName="[Valores-Representantes-ESP]" displayFolder="" count="0" memberValueDatatype="5" unbalanced="0"/>
    <cacheHierarchy uniqueName="[Valores-Representantes-ESP].[10.00%-Visitas]" caption="10.00%-Visitas" attribute="1" defaultMemberUniqueName="[Valores-Representantes-ESP].[10.00%-Visitas].[All]" allUniqueName="[Valores-Representantes-ESP].[10.00%-Visitas].[All]" dimensionUniqueName="[Valores-Representantes-ESP]" displayFolder="" count="0" memberValueDatatype="5" unbalanced="0"/>
    <cacheHierarchy uniqueName="[Valores-Representantes-ESP].[10.00%-Connect-MInd]" caption="10.00%-Connect-MInd" attribute="1" defaultMemberUniqueName="[Valores-Representantes-ESP].[10.00%-Connect-MInd].[All]" allUniqueName="[Valores-Representantes-ESP].[10.00%-Connect-MInd].[All]" dimensionUniqueName="[Valores-Representantes-ESP]" displayFolder="" count="0" memberValueDatatype="5" unbalanced="0"/>
    <cacheHierarchy uniqueName="[Valores-Representantes-ESP].[30.00%-Gerente-Contas]" caption="30.00%-Gerente-Contas" attribute="1" defaultMemberUniqueName="[Valores-Representantes-ESP].[30.00%-Gerente-Contas].[All]" allUniqueName="[Valores-Representantes-ESP].[30.00%-Gerente-Contas].[All]" dimensionUniqueName="[Valores-Representantes-ESP]" displayFolder="" count="0" memberValueDatatype="5" unbalanced="0"/>
    <cacheHierarchy uniqueName="[Valores-Representantes-ESP].[10.00%-Plateau]" caption="10.00%-Plateau" attribute="1" defaultMemberUniqueName="[Valores-Representantes-ESP].[10.00%-Plateau].[All]" allUniqueName="[Valores-Representantes-ESP].[10.00%-Plateau].[All]" dimensionUniqueName="[Valores-Representantes-ESP]" displayFolder="" count="0" memberValueDatatype="5" unbalanced="0"/>
    <cacheHierarchy uniqueName="[Valores-Representantes-ESP].[10.00%-Compliance]" caption="10.00%-Compliance" attribute="1" defaultMemberUniqueName="[Valores-Representantes-ESP].[10.00%-Compliance].[All]" allUniqueName="[Valores-Representantes-ESP].[10.00%-Compliance].[All]" dimensionUniqueName="[Valores-Representantes-ESP]" displayFolder="" count="0" memberValueDatatype="5" unbalanced="0"/>
    <cacheHierarchy uniqueName="[Valores-Representantes-ESP].[Check]" caption="Check" attribute="1" defaultMemberUniqueName="[Valores-Representantes-ESP].[Check].[All]" allUniqueName="[Valores-Representantes-ESP].[Check].[All]" dimensionUniqueName="[Valores-Representantes-ESP]" displayFolder="" count="0" memberValueDatatype="130" unbalanced="0"/>
    <cacheHierarchy uniqueName="[Valores-Representantes-HSP].[#PK-Cobertura]" caption="#PK-Cobertura" attribute="1" defaultMemberUniqueName="[Valores-Representantes-HSP].[#PK-Cobertura].[All]" allUniqueName="[Valores-Representantes-HSP].[#PK-Cobertura].[All]" dimensionUniqueName="[Valores-Representantes-HSP]" displayFolder="" count="0" memberValueDatatype="5" unbalanced="0"/>
    <cacheHierarchy uniqueName="[Valores-Representantes-HSP].[Valor-Base]" caption="Valor-Base" attribute="1" defaultMemberUniqueName="[Valores-Representantes-HSP].[Valor-Base].[All]" allUniqueName="[Valores-Representantes-HSP].[Valor-Base].[All]" dimensionUniqueName="[Valores-Representantes-HSP]" displayFolder="" count="0" memberValueDatatype="5" unbalanced="0"/>
    <cacheHierarchy uniqueName="[Valores-Representantes-HSP].[00.00%-Demanda-BERINERT]" caption="00.00%-Demanda-BERINERT" attribute="1" defaultMemberUniqueName="[Valores-Representantes-HSP].[00.00%-Demanda-BERINERT].[All]" allUniqueName="[Valores-Representantes-HSP].[00.00%-Demanda-BERINERT].[All]" dimensionUniqueName="[Valores-Representantes-HSP]" displayFolder="" count="0" memberValueDatatype="5" unbalanced="0"/>
    <cacheHierarchy uniqueName="[Valores-Representantes-HSP].[07.50%-Demanda-BERIPLEX]" caption="07.50%-Demanda-BERIPLEX" attribute="1" defaultMemberUniqueName="[Valores-Representantes-HSP].[07.50%-Demanda-BERIPLEX].[All]" allUniqueName="[Valores-Representantes-HSP].[07.50%-Demanda-BERIPLEX].[All]" dimensionUniqueName="[Valores-Representantes-HSP]" displayFolder="" count="0" memberValueDatatype="5" unbalanced="0"/>
    <cacheHierarchy uniqueName="[Valores-Representantes-HSP].[07.50%-Demanda-HAEMO]" caption="07.50%-Demanda-HAEMO" attribute="1" defaultMemberUniqueName="[Valores-Representantes-HSP].[07.50%-Demanda-HAEMO].[All]" allUniqueName="[Valores-Representantes-HSP].[07.50%-Demanda-HAEMO].[All]" dimensionUniqueName="[Valores-Representantes-HSP]" displayFolder="" count="0" memberValueDatatype="5" unbalanced="0"/>
    <cacheHierarchy uniqueName="[Valores-Representantes-HSP].[00.00%-Demanda-HIZENTRA]" caption="00.00%-Demanda-HIZENTRA" attribute="1" defaultMemberUniqueName="[Valores-Representantes-HSP].[00.00%-Demanda-HIZENTRA].[All]" allUniqueName="[Valores-Representantes-HSP].[00.00%-Demanda-HIZENTRA].[All]" dimensionUniqueName="[Valores-Representantes-HSP]" displayFolder="" count="0" memberValueDatatype="5" unbalanced="0"/>
    <cacheHierarchy uniqueName="[Valores-Representantes-HSP].[10.00%-Demanda-PRIVIGEN]" caption="10.00%-Demanda-PRIVIGEN" attribute="1" defaultMemberUniqueName="[Valores-Representantes-HSP].[10.00%-Demanda-PRIVIGEN].[All]" allUniqueName="[Valores-Representantes-HSP].[10.00%-Demanda-PRIVIGEN].[All]" dimensionUniqueName="[Valores-Representantes-HSP]" displayFolder="" count="0" memberValueDatatype="5" unbalanced="0"/>
    <cacheHierarchy uniqueName="[Valores-Representantes-HSP].[05.00%-Venda]" caption="05.00%-Venda" attribute="1" defaultMemberUniqueName="[Valores-Representantes-HSP].[05.00%-Venda].[All]" allUniqueName="[Valores-Representantes-HSP].[05.00%-Venda].[All]" dimensionUniqueName="[Valores-Representantes-HSP]" displayFolder="" count="0" memberValueDatatype="5" unbalanced="0"/>
    <cacheHierarchy uniqueName="[Valores-Representantes-HSP].[10.00%-Visitas]" caption="10.00%-Visitas" attribute="1" defaultMemberUniqueName="[Valores-Representantes-HSP].[10.00%-Visitas].[All]" allUniqueName="[Valores-Representantes-HSP].[10.00%-Visitas].[All]" dimensionUniqueName="[Valores-Representantes-HSP]" displayFolder="" count="0" memberValueDatatype="5" unbalanced="0"/>
    <cacheHierarchy uniqueName="[Valores-Representantes-HSP].[10.00%-Connect-MInd]" caption="10.00%-Connect-MInd" attribute="1" defaultMemberUniqueName="[Valores-Representantes-HSP].[10.00%-Connect-MInd].[All]" allUniqueName="[Valores-Representantes-HSP].[10.00%-Connect-MInd].[All]" dimensionUniqueName="[Valores-Representantes-HSP]" displayFolder="" count="0" memberValueDatatype="5" unbalanced="0"/>
    <cacheHierarchy uniqueName="[Valores-Representantes-HSP].[30.00%-Gerente-Contas]" caption="30.00%-Gerente-Contas" attribute="1" defaultMemberUniqueName="[Valores-Representantes-HSP].[30.00%-Gerente-Contas].[All]" allUniqueName="[Valores-Representantes-HSP].[30.00%-Gerente-Contas].[All]" dimensionUniqueName="[Valores-Representantes-HSP]" displayFolder="" count="0" memberValueDatatype="5" unbalanced="0"/>
    <cacheHierarchy uniqueName="[Valores-Representantes-HSP].[10.00%-Plateau]" caption="10.00%-Plateau" attribute="1" defaultMemberUniqueName="[Valores-Representantes-HSP].[10.00%-Plateau].[All]" allUniqueName="[Valores-Representantes-HSP].[10.00%-Plateau].[All]" dimensionUniqueName="[Valores-Representantes-HSP]" displayFolder="" count="0" memberValueDatatype="5" unbalanced="0"/>
    <cacheHierarchy uniqueName="[Valores-Representantes-HSP].[10.00%-Compliance]" caption="10.00%-Compliance" attribute="1" defaultMemberUniqueName="[Valores-Representantes-HSP].[10.00%-Compliance].[All]" allUniqueName="[Valores-Representantes-HSP].[10.00%-Compliance].[All]" dimensionUniqueName="[Valores-Representantes-HSP]" displayFolder="" count="0" memberValueDatatype="5" unbalanced="0"/>
    <cacheHierarchy uniqueName="[Valores-Representantes-HSP].[Check]" caption="Check" attribute="1" defaultMemberUniqueName="[Valores-Representantes-HSP].[Check].[All]" allUniqueName="[Valores-Representantes-HSP].[Check].[All]" dimensionUniqueName="[Valores-Representantes-HSP]" displayFolder="" count="0" memberValueDatatype="130" unbalanced="0"/>
    <cacheHierarchy uniqueName="[Venda].[#FK-AnoMes-Unv]" caption="#FK-AnoMes-Unv" attribute="1" defaultMemberUniqueName="[Venda].[#FK-AnoMes-Unv].[All]" allUniqueName="[Venda].[#FK-AnoMes-Unv].[All]" dimensionUniqueName="[Venda]" displayFolder="" count="0" memberValueDatatype="5" unbalanced="0"/>
    <cacheHierarchy uniqueName="[Venda].[#FK-Cod-Linha]" caption="#FK-Cod-Linha" attribute="1" defaultMemberUniqueName="[Venda].[#FK-Cod-Linha].[All]" allUniqueName="[Venda].[#FK-Cod-Linha].[All]" dimensionUniqueName="[Venda]" displayFolder="" count="0" memberValueDatatype="5" unbalanced="0"/>
    <cacheHierarchy uniqueName="[Venda].[#FK-Cod-Produto]" caption="#FK-Cod-Produto" attribute="1" defaultMemberUniqueName="[Venda].[#FK-Cod-Produto].[All]" allUniqueName="[Venda].[#FK-Cod-Produto].[All]" dimensionUniqueName="[Venda]" displayFolder="" count="0" memberValueDatatype="130" unbalanced="0"/>
    <cacheHierarchy uniqueName="[Venda].[#FK-CNPJ-Estabelecimento]" caption="#FK-CNPJ-Estabelecimento" attribute="1" defaultMemberUniqueName="[Venda].[#FK-CNPJ-Estabelecimento].[All]" allUniqueName="[Venda].[#FK-CNPJ-Estabelecimento].[All]" dimensionUniqueName="[Venda]" displayFolder="" count="0" memberValueDatatype="5" unbalanced="0"/>
    <cacheHierarchy uniqueName="[Venda].[@-Ministerio]" caption="@-Ministerio" attribute="1" defaultMemberUniqueName="[Venda].[@-Ministerio].[All]" allUniqueName="[Venda].[@-Ministerio].[All]" dimensionUniqueName="[Venda]" displayFolder="" count="0" memberValueDatatype="11" unbalanced="0"/>
    <cacheHierarchy uniqueName="[Venda].[@-Distribuidor]" caption="@-Distribuidor" attribute="1" defaultMemberUniqueName="[Venda].[@-Distribuidor].[All]" allUniqueName="[Venda].[@-Distribuidor].[All]" dimensionUniqueName="[Venda]" displayFolder="" count="0" memberValueDatatype="11" unbalanced="0"/>
    <cacheHierarchy uniqueName="[Venda].[@-IV-Venda]" caption="@-IV-Venda" attribute="1" defaultMemberUniqueName="[Venda].[@-IV-Venda].[All]" allUniqueName="[Venda].[@-IV-Venda].[All]" dimensionUniqueName="[Venda]" displayFolder="" count="0" memberValueDatatype="11" unbalanced="0"/>
    <cacheHierarchy uniqueName="[Venda].[#FK-Email-Gerente]" caption="#FK-Email-Gerente" attribute="1" defaultMemberUniqueName="[Venda].[#FK-Email-Gerente].[All]" allUniqueName="[Venda].[#FK-Email-Gerente].[All]" dimensionUniqueName="[Venda]" displayFolder="" count="0" memberValueDatatype="130" unbalanced="0"/>
    <cacheHierarchy uniqueName="[Venda].[#FK-Email-Representante]" caption="#FK-Email-Representante" attribute="1" defaultMemberUniqueName="[Venda].[#FK-Email-Representante].[All]" allUniqueName="[Venda].[#FK-Email-Representante].[All]" dimensionUniqueName="[Venda]" displayFolder="" count="0" memberValueDatatype="130" unbalanced="0"/>
    <cacheHierarchy uniqueName="[Venda].[Venda-UN]" caption="Venda-UN" attribute="1" defaultMemberUniqueName="[Venda].[Venda-UN].[All]" allUniqueName="[Venda].[Venda-UN].[All]" dimensionUniqueName="[Venda]" displayFolder="" count="0" memberValueDatatype="5" unbalanced="0"/>
    <cacheHierarchy uniqueName="[Venda].[Venda-EQ]" caption="Venda-EQ" attribute="1" defaultMemberUniqueName="[Venda].[Venda-EQ].[All]" allUniqueName="[Venda].[Venda-EQ].[All]" dimensionUniqueName="[Venda]" displayFolder="" count="0" memberValueDatatype="5" unbalanced="0"/>
    <cacheHierarchy uniqueName="[Venda].[Venda-BRL]" caption="Venda-BRL" attribute="1" defaultMemberUniqueName="[Venda].[Venda-BRL].[All]" allUniqueName="[Venda].[Venda-BRL].[All]" dimensionUniqueName="[Venda]" displayFolder="" count="0" memberValueDatatype="5" unbalanced="0"/>
    <cacheHierarchy uniqueName="[Venda].[Venda-IV]" caption="Venda-IV" attribute="1" defaultMemberUniqueName="[Venda].[Venda-IV].[All]" allUniqueName="[Venda].[Venda-IV].[All]" dimensionUniqueName="[Venda]" displayFolder="" count="0" memberValueDatatype="5" unbalanced="0"/>
    <cacheHierarchy uniqueName="[Visitas-Outros].[#FK-AnoMes-Unv]" caption="#FK-AnoMes-Unv" attribute="1" defaultMemberUniqueName="[Visitas-Outros].[#FK-AnoMes-Unv].[All]" allUniqueName="[Visitas-Outros].[#FK-AnoMes-Unv].[All]" dimensionUniqueName="[Visitas-Outros]" displayFolder="" count="0" memberValueDatatype="5" unbalanced="0"/>
    <cacheHierarchy uniqueName="[Visitas-Outros].[#FK-Email-Gerente]" caption="#FK-Email-Gerente" attribute="1" defaultMemberUniqueName="[Visitas-Outros].[#FK-Email-Gerente].[All]" allUniqueName="[Visitas-Outros].[#FK-Email-Gerente].[All]" dimensionUniqueName="[Visitas-Outros]" displayFolder="" count="0" memberValueDatatype="130" unbalanced="0"/>
    <cacheHierarchy uniqueName="[Visitas-Outros].[#FK-Email-Representante]" caption="#FK-Email-Representante" attribute="1" defaultMemberUniqueName="[Visitas-Outros].[#FK-Email-Representante].[All]" allUniqueName="[Visitas-Outros].[#FK-Email-Representante].[All]" dimensionUniqueName="[Visitas-Outros]" displayFolder="" count="0" memberValueDatatype="130" unbalanced="0"/>
    <cacheHierarchy uniqueName="[Visitas-Outros].[#FK-Email-Representante_ESP]" caption="#FK-Email-Representante_ESP" attribute="1" defaultMemberUniqueName="[Visitas-Outros].[#FK-Email-Representante_ESP].[All]" allUniqueName="[Visitas-Outros].[#FK-Email-Representante_ESP].[All]" dimensionUniqueName="[Visitas-Outros]" displayFolder="" count="0" memberValueDatatype="130" unbalanced="0"/>
    <cacheHierarchy uniqueName="[Visitas-Outros].[#FK-Email-Representante_HSP]" caption="#FK-Email-Representante_HSP" attribute="1" defaultMemberUniqueName="[Visitas-Outros].[#FK-Email-Representante_HSP].[All]" allUniqueName="[Visitas-Outros].[#FK-Email-Representante_HSP].[All]" dimensionUniqueName="[Visitas-Outros]" displayFolder="" count="0" memberValueDatatype="130" unbalanced="0"/>
    <cacheHierarchy uniqueName="[Visitas-Outros].[#FK-Email-Representante_EMH]" caption="#FK-Email-Representante_EMH" attribute="1" defaultMemberUniqueName="[Visitas-Outros].[#FK-Email-Representante_EMH].[All]" allUniqueName="[Visitas-Outros].[#FK-Email-Representante_EMH].[All]" dimensionUniqueName="[Visitas-Outros]" displayFolder="" count="0" memberValueDatatype="130" unbalanced="0"/>
    <cacheHierarchy uniqueName="[Visitas-Outros].[@-ESP]" caption="@-ESP" attribute="1" defaultMemberUniqueName="[Visitas-Outros].[@-ESP].[All]" allUniqueName="[Visitas-Outros].[@-ESP].[All]" dimensionUniqueName="[Visitas-Outros]" displayFolder="" count="0" memberValueDatatype="11" unbalanced="0"/>
    <cacheHierarchy uniqueName="[Visitas-Outros].[@-HSP]" caption="@-HSP" attribute="1" defaultMemberUniqueName="[Visitas-Outros].[@-HSP].[All]" allUniqueName="[Visitas-Outros].[@-HSP].[All]" dimensionUniqueName="[Visitas-Outros]" displayFolder="" count="0" memberValueDatatype="11" unbalanced="0"/>
    <cacheHierarchy uniqueName="[Visitas-Outros].[@-EMH]" caption="@-EMH" attribute="1" defaultMemberUniqueName="[Visitas-Outros].[@-EMH].[All]" allUniqueName="[Visitas-Outros].[@-EMH].[All]" dimensionUniqueName="[Visitas-Outros]" displayFolder="" count="0" memberValueDatatype="11" unbalanced="0"/>
    <cacheHierarchy uniqueName="[Visitas-Outros].[Visitas-Meta]" caption="Visitas-Meta" attribute="1" defaultMemberUniqueName="[Visitas-Outros].[Visitas-Meta].[All]" allUniqueName="[Visitas-Outros].[Visitas-Meta].[All]" dimensionUniqueName="[Visitas-Outros]" displayFolder="" count="0" memberValueDatatype="5" unbalanced="0"/>
    <cacheHierarchy uniqueName="[Visitas-Outros].[Visitas-Realizadas]" caption="Visitas-Realizadas" attribute="1" defaultMemberUniqueName="[Visitas-Outros].[Visitas-Realizadas].[All]" allUniqueName="[Visitas-Outros].[Visitas-Realizadas].[All]" dimensionUniqueName="[Visitas-Outros]" displayFolder="" count="0" memberValueDatatype="5" unbalanced="0"/>
    <cacheHierarchy uniqueName="[Visitas-Outros].[@Garantido-Visitas]" caption="@Garantido-Visitas" attribute="1" defaultMemberUniqueName="[Visitas-Outros].[@Garantido-Visitas].[All]" allUniqueName="[Visitas-Outros].[@Garantido-Visitas].[All]" dimensionUniqueName="[Visitas-Outros]" displayFolder="" count="0" memberValueDatatype="11" unbalanced="0"/>
    <cacheHierarchy uniqueName="[Visitas-Outros].[%Realizado-Visitas]" caption="%Realizado-Visitas" attribute="1" defaultMemberUniqueName="[Visitas-Outros].[%Realizado-Visitas].[All]" allUniqueName="[Visitas-Outros].[%Realizado-Visitas].[All]" dimensionUniqueName="[Visitas-Outros]" displayFolder="" count="0" memberValueDatatype="5" unbalanced="0"/>
    <cacheHierarchy uniqueName="[Visitas-Outros].[%Realizado-Connect-Mind]" caption="%Realizado-Connect-Mind" attribute="1" defaultMemberUniqueName="[Visitas-Outros].[%Realizado-Connect-Mind].[All]" allUniqueName="[Visitas-Outros].[%Realizado-Connect-Mind].[All]" dimensionUniqueName="[Visitas-Outros]" displayFolder="" count="0" memberValueDatatype="20" unbalanced="0"/>
    <cacheHierarchy uniqueName="[Visitas-Outros].[%Realizado-Aval-GR]" caption="%Realizado-Aval-GR" attribute="1" defaultMemberUniqueName="[Visitas-Outros].[%Realizado-Aval-GR].[All]" allUniqueName="[Visitas-Outros].[%Realizado-Aval-GR].[All]" dimensionUniqueName="[Visitas-Outros]" displayFolder="" count="0" memberValueDatatype="20" unbalanced="0"/>
    <cacheHierarchy uniqueName="[Visitas-Outros].[%Realizado-Plateau]" caption="%Realizado-Plateau" attribute="1" defaultMemberUniqueName="[Visitas-Outros].[%Realizado-Plateau].[All]" allUniqueName="[Visitas-Outros].[%Realizado-Plateau].[All]" dimensionUniqueName="[Visitas-Outros]" displayFolder="" count="0" memberValueDatatype="20" unbalanced="0"/>
    <cacheHierarchy uniqueName="[Visitas-Outros].[%Realizado-Compliance]" caption="%Realizado-Compliance" attribute="1" defaultMemberUniqueName="[Visitas-Outros].[%Realizado-Compliance].[All]" allUniqueName="[Visitas-Outros].[%Realizado-Compliance].[All]" dimensionUniqueName="[Visitas-Outros]" displayFolder="" count="0" memberValueDatatype="20" unbalanced="0"/>
    <cacheHierarchy uniqueName="[Measures].[__XL_Count Datas]" caption="__XL_Count Datas" measure="1" displayFolder="" measureGroup="Datas" count="0" hidden="1"/>
    <cacheHierarchy uniqueName="[Measures].[__XL_Count Demanda]" caption="__XL_Count Demanda" measure="1" displayFolder="" measureGroup="Demanda" count="0" hidden="1"/>
    <cacheHierarchy uniqueName="[Measures].[__XL_Count Distribuidores]" caption="__XL_Count Distribuidores" measure="1" displayFolder="" measureGroup="Distribuidores" count="0" hidden="1"/>
    <cacheHierarchy uniqueName="[Measures].[__XL_Count Estabelecimentos]" caption="__XL_Count Estabelecimentos" measure="1" displayFolder="" measureGroup="Estabelecimentos" count="0" hidden="1"/>
    <cacheHierarchy uniqueName="[Measures].[__XL_Count Gerentes]" caption="__XL_Count Gerentes" measure="1" displayFolder="" measureGroup="Gerentes" count="0" hidden="1"/>
    <cacheHierarchy uniqueName="[Measures].[__XL_Count Produtos]" caption="__XL_Count Produtos" measure="1" displayFolder="" measureGroup="Produtos" count="0" hidden="1"/>
    <cacheHierarchy uniqueName="[Measures].[__XL_Count Produtos-Linhas]" caption="__XL_Count Produtos-Linhas" measure="1" displayFolder="" measureGroup="Produtos-Linhas" count="0" hidden="1"/>
    <cacheHierarchy uniqueName="[Measures].[__XL_Count Representantes]" caption="__XL_Count Representantes" measure="1" displayFolder="" measureGroup="Representantes" count="0" hidden="1"/>
    <cacheHierarchy uniqueName="[Measures].[__XL_Count Representantes-EMH]" caption="__XL_Count Representantes-EMH" measure="1" displayFolder="" measureGroup="Representantes-EMH" count="0" hidden="1"/>
    <cacheHierarchy uniqueName="[Measures].[__XL_Count Representantes-ESP]" caption="__XL_Count Representantes-ESP" measure="1" displayFolder="" measureGroup="Representantes-ESP" count="0" hidden="1"/>
    <cacheHierarchy uniqueName="[Measures].[__XL_Count Representantes-HSP]" caption="__XL_Count Representantes-HSP" measure="1" displayFolder="" measureGroup="Representantes-HSP" count="0" hidden="1"/>
    <cacheHierarchy uniqueName="[Measures].[__XL_Count Venda]" caption="__XL_Count Venda" measure="1" displayFolder="" measureGroup="Venda" count="0" hidden="1"/>
    <cacheHierarchy uniqueName="[Measures].[__XL_Count Visitas-Outros]" caption="__XL_Count Visitas-Outros" measure="1" displayFolder="" measureGroup="Visitas-Outros" count="0" hidden="1"/>
    <cacheHierarchy uniqueName="[Measures].[__XL_Count Cota-Venda]" caption="__XL_Count Cota-Venda" measure="1" displayFolder="" measureGroup="Cota-Venda" count="0" hidden="1"/>
    <cacheHierarchy uniqueName="[Measures].[__XL_Count Cota-Demanda]" caption="__XL_Count Cota-Demanda" measure="1" displayFolder="" measureGroup="Cota-Demanda" count="0" hidden="1"/>
    <cacheHierarchy uniqueName="[Measures].[__XL_Count Valores-Gerentes]" caption="__XL_Count Valores-Gerentes" measure="1" displayFolder="" measureGroup="Valores-Gerentes" count="0" hidden="1"/>
    <cacheHierarchy uniqueName="[Measures].[__XL_Count Valores-Representantes-EMH]" caption="__XL_Count Valores-Representantes-EMH" measure="1" displayFolder="" measureGroup="Valores-Representantes-EMH" count="0" hidden="1"/>
    <cacheHierarchy uniqueName="[Measures].[__XL_Count Valores-Representantes-HSP]" caption="__XL_Count Valores-Representantes-HSP" measure="1" displayFolder="" measureGroup="Valores-Representantes-HSP" count="0" hidden="1"/>
    <cacheHierarchy uniqueName="[Measures].[__XL_Count Valores-Representantes-ESP]" caption="__XL_Count Valores-Representantes-ESP" measure="1" displayFolder="" measureGroup="Valores-Representantes-ESP" count="0" hidden="1"/>
    <cacheHierarchy uniqueName="[Measures].[__XL_Count Representantes-IV]" caption="__XL_Count Representantes-IV" measure="1" displayFolder="" measureGroup="Representantes-IV" count="0" hidden="1"/>
    <cacheHierarchy uniqueName="[Measures].[__XL_Count Demanda-IV-REP]" caption="__XL_Count Demanda-IV-REP" measure="1" displayFolder="" measureGroup="Demanda-IV-REP" count="0" hidden="1"/>
    <cacheHierarchy uniqueName="[Measures].[__No measures defined]" caption="__No measures defined" measure="1" displayFolder="" count="0" hidden="1"/>
    <cacheHierarchy uniqueName="[Measures].[Soma de Venda-BRL]" caption="Soma de Venda-BRL" measure="1" displayFolder="" measureGroup="Venda" count="0" hidden="1">
      <extLst>
        <ext xmlns:x15="http://schemas.microsoft.com/office/spreadsheetml/2010/11/main" uri="{B97F6D7D-B522-45F9-BDA1-12C45D357490}">
          <x15:cacheHierarchy aggregatedColumn="203"/>
        </ext>
      </extLst>
    </cacheHierarchy>
    <cacheHierarchy uniqueName="[Measures].[Soma de Cota-Venda]" caption="Soma de Cota-Venda" measure="1" displayFolder="" measureGroup="Cota-Vend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Cota-Gerente]" caption="Soma de Cota-Gere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manda-EQ]" caption="Soma de Demanda-EQ" measure="1" displayFolder="" measureGroup="Demanda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oma de Cota-Representante]" caption="Soma de Cota-Representa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Demanda-IV 2]" caption="Soma de Demanda-IV 2" measure="1" displayFolder="" measureGroup="Demand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</cacheHierarchies>
  <kpis count="0"/>
  <dimensions count="22">
    <dimension name="Cota-Demanda" uniqueName="[Cota-Demanda]" caption="Cota-Demanda"/>
    <dimension name="Cota-Venda" uniqueName="[Cota-Venda]" caption="Cota-Venda"/>
    <dimension name="Datas" uniqueName="[Datas]" caption="Datas"/>
    <dimension name="Demanda" uniqueName="[Demanda]" caption="Demanda"/>
    <dimension name="Demanda-IV-REP" uniqueName="[Demanda-IV-REP]" caption="Demanda-IV-REP"/>
    <dimension name="Distribuidores" uniqueName="[Distribuidores]" caption="Distribuidores"/>
    <dimension name="Estabelecimentos" uniqueName="[Estabelecimentos]" caption="Estabelecimentos"/>
    <dimension name="Gerentes" uniqueName="[Gerentes]" caption="Gerentes"/>
    <dimension measure="1" name="Measures" uniqueName="[Measures]" caption="Measures"/>
    <dimension name="Produtos" uniqueName="[Produtos]" caption="Produtos"/>
    <dimension name="Produtos-Linhas" uniqueName="[Produtos-Linhas]" caption="Produtos-Linhas"/>
    <dimension name="Representantes" uniqueName="[Representantes]" caption="Representantes"/>
    <dimension name="Representantes-EMH" uniqueName="[Representantes-EMH]" caption="Representantes-EMH"/>
    <dimension name="Representantes-ESP" uniqueName="[Representantes-ESP]" caption="Representantes-ESP"/>
    <dimension name="Representantes-HSP" uniqueName="[Representantes-HSP]" caption="Representantes-HSP"/>
    <dimension name="Representantes-IV" uniqueName="[Representantes-IV]" caption="Representantes-IV"/>
    <dimension name="Valores-Gerentes" uniqueName="[Valores-Gerentes]" caption="Valores-Gerentes"/>
    <dimension name="Valores-Representantes-EMH" uniqueName="[Valores-Representantes-EMH]" caption="Valores-Representantes-EMH"/>
    <dimension name="Valores-Representantes-ESP" uniqueName="[Valores-Representantes-ESP]" caption="Valores-Representantes-ESP"/>
    <dimension name="Valores-Representantes-HSP" uniqueName="[Valores-Representantes-HSP]" caption="Valores-Representantes-HSP"/>
    <dimension name="Venda" uniqueName="[Venda]" caption="Venda"/>
    <dimension name="Visitas-Outros" uniqueName="[Visitas-Outros]" caption="Visitas-Outros"/>
  </dimensions>
  <measureGroups count="21">
    <measureGroup name="Cota-Demanda" caption="Cota-Demanda"/>
    <measureGroup name="Cota-Venda" caption="Cota-Venda"/>
    <measureGroup name="Datas" caption="Datas"/>
    <measureGroup name="Demanda" caption="Demanda"/>
    <measureGroup name="Demanda-IV-REP" caption="Demanda-IV-REP"/>
    <measureGroup name="Distribuidores" caption="Distribuidores"/>
    <measureGroup name="Estabelecimentos" caption="Estabelecimentos"/>
    <measureGroup name="Gerentes" caption="Gerentes"/>
    <measureGroup name="Produtos" caption="Produtos"/>
    <measureGroup name="Produtos-Linhas" caption="Produtos-Linhas"/>
    <measureGroup name="Representantes" caption="Representantes"/>
    <measureGroup name="Representantes-EMH" caption="Representantes-EMH"/>
    <measureGroup name="Representantes-ESP" caption="Representantes-ESP"/>
    <measureGroup name="Representantes-HSP" caption="Representantes-HSP"/>
    <measureGroup name="Representantes-IV" caption="Representantes-IV"/>
    <measureGroup name="Valores-Gerentes" caption="Valores-Gerentes"/>
    <measureGroup name="Valores-Representantes-EMH" caption="Valores-Representantes-EMH"/>
    <measureGroup name="Valores-Representantes-ESP" caption="Valores-Representantes-ESP"/>
    <measureGroup name="Valores-Representantes-HSP" caption="Valores-Representantes-HSP"/>
    <measureGroup name="Venda" caption="Venda"/>
    <measureGroup name="Visitas-Outros" caption="Visitas-Outros"/>
  </measureGroups>
  <maps count="59">
    <map measureGroup="0" dimension="0"/>
    <map measureGroup="0" dimension="2"/>
    <map measureGroup="0" dimension="7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1" dimension="1"/>
    <map measureGroup="1" dimension="2"/>
    <map measureGroup="1" dimension="7"/>
    <map measureGroup="1" dimension="9"/>
    <map measureGroup="1" dimension="10"/>
    <map measureGroup="1" dimension="11"/>
    <map measureGroup="2" dimension="2"/>
    <map measureGroup="3" dimension="2"/>
    <map measureGroup="3" dimension="3"/>
    <map measureGroup="3" dimension="5"/>
    <map measureGroup="3" dimension="6"/>
    <map measureGroup="3" dimension="7"/>
    <map measureGroup="3" dimension="9"/>
    <map measureGroup="3" dimension="10"/>
    <map measureGroup="3" dimension="12"/>
    <map measureGroup="3" dimension="13"/>
    <map measureGroup="3" dimension="14"/>
    <map measureGroup="4" dimension="2"/>
    <map measureGroup="4" dimension="4"/>
    <map measureGroup="4" dimension="10"/>
    <map measureGroup="4" dimension="11"/>
    <map measureGroup="4" dimension="15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  <map measureGroup="15" dimension="16"/>
    <map measureGroup="16" dimension="17"/>
    <map measureGroup="17" dimension="18"/>
    <map measureGroup="18" dimension="19"/>
    <map measureGroup="19" dimension="2"/>
    <map measureGroup="19" dimension="6"/>
    <map measureGroup="19" dimension="7"/>
    <map measureGroup="19" dimension="9"/>
    <map measureGroup="19" dimension="10"/>
    <map measureGroup="19" dimension="11"/>
    <map measureGroup="19" dimension="20"/>
    <map measureGroup="20" dimension="2"/>
    <map measureGroup="20" dimension="7"/>
    <map measureGroup="20" dimension="11"/>
    <map measureGroup="20" dimension="12"/>
    <map measureGroup="20" dimension="13"/>
    <map measureGroup="20" dimension="14"/>
    <map measureGroup="20" dimension="2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domiro Barbosa" refreshedDate="44061.433350115738" createdVersion="6" refreshedVersion="6" minRefreshableVersion="3" recordCount="19" xr:uid="{899052D1-F020-429C-8BFB-3DC7F2A4A782}">
  <cacheSource type="worksheet">
    <worksheetSource name="Representantes_IV"/>
  </cacheSource>
  <cacheFields count="59">
    <cacheField name="#PK-Email-Representante" numFmtId="0">
      <sharedItems/>
    </cacheField>
    <cacheField name="Representante" numFmtId="0">
      <sharedItems count="19">
        <s v="ALINE FONSECA HSP (RS)"/>
        <s v="ANTONIO TUNES HSP (SPC)"/>
        <s v="ARTUR JUNIOR HSP (SPI)"/>
        <s v="FERNANDA BORNHAUSEN HSP (SC/PR)"/>
        <s v="KAREN ROSA HSP (DF/GO/MS/MT/TO)"/>
        <s v="KLEBER SILVA HSP (CE/MA/PI)"/>
        <s v="LAIS MAGALHAES HSP (BA/AL/SE)"/>
        <s v="LENILSON SILVA HSP (PB/PE/RN)"/>
        <s v="MARCUS BASTOS HSP (RJ)"/>
        <s v="ROMEU SOARES HSP (RJ)"/>
        <s v="TATHIANA PONCE HSP (SPC)"/>
        <s v="BRUNA CLARO ESP (SPI)"/>
        <s v="CHRISTIANE GARCIA ESP (SPC)"/>
        <s v="EVELINE GOULART ESP (RJ)"/>
        <s v="JANAINA PALMIRO ESP (SPC)"/>
        <s v="MICHELE MORAES ESP (PR/SC/RS)"/>
        <s v="VALERIA BRAGA ESP (CE/MA/PI/BA/AL/SE/PB/PE/RN)"/>
        <s v="IWENS SILVA EMH (MG/ES)"/>
        <s v="WLADIMIR CAMPELO EMH (AC/AM/AP/PA/RO/RR/DF)"/>
      </sharedItems>
    </cacheField>
    <cacheField name="@-Calculo-IV" numFmtId="0">
      <sharedItems count="1">
        <b v="1"/>
      </sharedItems>
    </cacheField>
    <cacheField name="@-HSP" numFmtId="0">
      <sharedItems/>
    </cacheField>
    <cacheField name="@-ESP" numFmtId="0">
      <sharedItems/>
    </cacheField>
    <cacheField name="@-EMH" numFmtId="0">
      <sharedItems/>
    </cacheField>
    <cacheField name="Check Equipe" numFmtId="0">
      <sharedItems/>
    </cacheField>
    <cacheField name="Demanda BERINERT" numFmtId="3">
      <sharedItems containsSemiMixedTypes="0" containsString="0" containsNumber="1" containsInteger="1" minValue="0" maxValue="247"/>
    </cacheField>
    <cacheField name="Demanda BERIPLEX" numFmtId="3">
      <sharedItems containsSemiMixedTypes="0" containsString="0" containsNumber="1" containsInteger="1" minValue="0" maxValue="336"/>
    </cacheField>
    <cacheField name="Demanda HAEMO" numFmtId="3">
      <sharedItems containsSemiMixedTypes="0" containsString="0" containsNumber="1" containsInteger="1" minValue="0" maxValue="231"/>
    </cacheField>
    <cacheField name="Demanda HIZENTRA" numFmtId="3">
      <sharedItems containsSemiMixedTypes="0" containsString="0" containsNumber="1" containsInteger="1" minValue="11" maxValue="1217"/>
    </cacheField>
    <cacheField name="Demanda PRIVIGEN" numFmtId="3">
      <sharedItems containsSemiMixedTypes="0" containsString="0" containsNumber="1" minValue="315" maxValue="24445"/>
    </cacheField>
    <cacheField name="Cota BERINERT" numFmtId="3">
      <sharedItems containsSemiMixedTypes="0" containsString="0" containsNumber="1" minValue="0" maxValue="159.04"/>
    </cacheField>
    <cacheField name="Cota BERIPLEX" numFmtId="3">
      <sharedItems containsSemiMixedTypes="0" containsString="0" containsNumber="1" minValue="0" maxValue="258"/>
    </cacheField>
    <cacheField name="Cota HAEMO" numFmtId="3">
      <sharedItems containsSemiMixedTypes="0" containsString="0" containsNumber="1" containsInteger="1" minValue="0" maxValue="273"/>
    </cacheField>
    <cacheField name="Cota HIZENTRA" numFmtId="3">
      <sharedItems containsSemiMixedTypes="0" containsString="0" containsNumber="1" containsInteger="1" minValue="0" maxValue="1659"/>
    </cacheField>
    <cacheField name="Cota PRIVIGEN" numFmtId="3">
      <sharedItems containsSemiMixedTypes="0" containsString="0" containsNumber="1" minValue="2040.5" maxValue="16324"/>
    </cacheField>
    <cacheField name="Cobertura BERINERT" numFmtId="10">
      <sharedItems containsMixedTypes="1" containsNumber="1" minValue="0" maxValue="2.3140000000000001"/>
    </cacheField>
    <cacheField name="Cobertura BERIPLEX" numFmtId="10">
      <sharedItems containsMixedTypes="1" containsNumber="1" minValue="0" maxValue="0.99399999999999999"/>
    </cacheField>
    <cacheField name="Cobertura HAEMO" numFmtId="10">
      <sharedItems containsMixedTypes="1" containsNumber="1" minValue="0" maxValue="0.67300000000000004"/>
    </cacheField>
    <cacheField name="Cobertura HIZENTRA" numFmtId="10">
      <sharedItems containsMixedTypes="1" containsNumber="1" minValue="0.47" maxValue="1.44"/>
    </cacheField>
    <cacheField name="Cobertura PRIVIGEN" numFmtId="10">
      <sharedItems containsSemiMixedTypes="0" containsString="0" containsNumber="1" minValue="0.155" maxValue="2.645"/>
    </cacheField>
    <cacheField name="Valor BERINERT" numFmtId="164">
      <sharedItems containsSemiMixedTypes="0" containsString="0" containsNumber="1" minValue="0" maxValue="779.55079999999998"/>
    </cacheField>
    <cacheField name="Valor BERIPLEX" numFmtId="164">
      <sharedItems containsSemiMixedTypes="0" containsString="0" containsNumber="1" minValue="0" maxValue="210.27699999999999"/>
    </cacheField>
    <cacheField name="Valor HAEMO" numFmtId="164">
      <sharedItems containsSemiMixedTypes="0" containsString="0" containsNumber="1" containsInteger="1" minValue="0" maxValue="0"/>
    </cacheField>
    <cacheField name="Valor HIZENTRA" numFmtId="164">
      <sharedItems containsSemiMixedTypes="0" containsString="0" containsNumber="1" minValue="0" maxValue="1487.383"/>
    </cacheField>
    <cacheField name="Valor PRIVIGEN" numFmtId="164">
      <sharedItems containsSemiMixedTypes="0" containsString="0" containsNumber="1" minValue="0" maxValue="1559.1016"/>
    </cacheField>
    <cacheField name="%-Garatido BERINERT" numFmtId="9">
      <sharedItems containsSemiMixedTypes="0" containsString="0" containsNumber="1" containsInteger="1" minValue="0" maxValue="1"/>
    </cacheField>
    <cacheField name="%-Garantido BERIPLEX" numFmtId="9">
      <sharedItems containsSemiMixedTypes="0" containsString="0" containsNumber="1" containsInteger="1" minValue="0" maxValue="0"/>
    </cacheField>
    <cacheField name="%-Garantido HAEMO" numFmtId="9">
      <sharedItems containsSemiMixedTypes="0" containsString="0" containsNumber="1" containsInteger="1" minValue="0" maxValue="0"/>
    </cacheField>
    <cacheField name="%-Garantido HIZENTRA" numFmtId="9">
      <sharedItems containsSemiMixedTypes="0" containsString="0" containsNumber="1" containsInteger="1" minValue="0" maxValue="1"/>
    </cacheField>
    <cacheField name="%-Garantido PRIVIGEN" numFmtId="9">
      <sharedItems containsSemiMixedTypes="0" containsString="0" containsNumber="1" containsInteger="1" minValue="0" maxValue="1"/>
    </cacheField>
    <cacheField name="Garatido BERINERT" numFmtId="164">
      <sharedItems containsSemiMixedTypes="0" containsString="0" containsNumber="1" minValue="0" maxValue="188.0412"/>
    </cacheField>
    <cacheField name="Garantido BERIPLEX" numFmtId="164">
      <sharedItems containsSemiMixedTypes="0" containsString="0" containsNumber="1" containsInteger="1" minValue="0" maxValue="0"/>
    </cacheField>
    <cacheField name="Garantido HAEMO" numFmtId="164">
      <sharedItems containsSemiMixedTypes="0" containsString="0" containsNumber="1" containsInteger="1" minValue="0" maxValue="0"/>
    </cacheField>
    <cacheField name="Garantido HIZENTRA" numFmtId="164">
      <sharedItems containsSemiMixedTypes="0" containsString="0" containsNumber="1" minValue="0" maxValue="564.12350000000004"/>
    </cacheField>
    <cacheField name="Garantido PRIVIGEN" numFmtId="164">
      <sharedItems containsSemiMixedTypes="0" containsString="0" containsNumber="1" minValue="0" maxValue="188.0412"/>
    </cacheField>
    <cacheField name="Premio BERINERT" numFmtId="164">
      <sharedItems containsSemiMixedTypes="0" containsString="0" containsNumber="1" minValue="0" maxValue="779.55079999999998"/>
    </cacheField>
    <cacheField name="Premio BERIPLEX" numFmtId="164">
      <sharedItems containsSemiMixedTypes="0" containsString="0" containsNumber="1" minValue="0" maxValue="210.27699999999999"/>
    </cacheField>
    <cacheField name="Premio HAEMO" numFmtId="164">
      <sharedItems containsSemiMixedTypes="0" containsString="0" containsNumber="1" containsInteger="1" minValue="0" maxValue="0"/>
    </cacheField>
    <cacheField name="Premio HIZENTRA" numFmtId="164">
      <sharedItems containsSemiMixedTypes="0" containsString="0" containsNumber="1" minValue="0" maxValue="1487.383"/>
    </cacheField>
    <cacheField name="Premio PRIVIGEN" numFmtId="164">
      <sharedItems containsSemiMixedTypes="0" containsString="0" containsNumber="1" minValue="0" maxValue="1559.1016"/>
    </cacheField>
    <cacheField name="Cota Venda" numFmtId="164">
      <sharedItems containsSemiMixedTypes="0" containsString="0" containsNumber="1" minValue="24875647.060000017" maxValue="24875647.060000017"/>
    </cacheField>
    <cacheField name="Venda" numFmtId="164">
      <sharedItems containsSemiMixedTypes="0" containsString="0" containsNumber="1" minValue="30797896.699999992" maxValue="30797896.699999992"/>
    </cacheField>
    <cacheField name="Cobertura Venda" numFmtId="10">
      <sharedItems containsSemiMixedTypes="0" containsString="0" containsNumber="1" minValue="1.2389999999999999" maxValue="1.2389999999999999"/>
    </cacheField>
    <cacheField name="Premio Venda" numFmtId="164">
      <sharedItems containsSemiMixedTypes="0" containsString="0" containsNumber="1" minValue="631.32569999999998" maxValue="631.32569999999998"/>
    </cacheField>
    <cacheField name="Meta Visitas" numFmtId="3">
      <sharedItems containsSemiMixedTypes="0" containsString="0" containsNumber="1" containsInteger="1" minValue="84" maxValue="92"/>
    </cacheField>
    <cacheField name="Visitas" numFmtId="3">
      <sharedItems containsSemiMixedTypes="0" containsString="0" containsNumber="1" containsInteger="1" minValue="82" maxValue="142"/>
    </cacheField>
    <cacheField name="Cobertura Visitas" numFmtId="10">
      <sharedItems containsSemiMixedTypes="0" containsString="0" containsNumber="1" minValue="0.89200000000000002" maxValue="1.6309999999999998"/>
    </cacheField>
    <cacheField name="Premio Visitas" numFmtId="164">
      <sharedItems containsSemiMixedTypes="0" containsString="0" containsNumber="1" minValue="167.73269999999999" maxValue="1559.1016"/>
    </cacheField>
    <cacheField name="Cobertura Connect Mind" numFmtId="10">
      <sharedItems containsSemiMixedTypes="0" containsString="0" containsNumber="1" containsInteger="1" minValue="1" maxValue="1"/>
    </cacheField>
    <cacheField name="Premio Connect Mind" numFmtId="164">
      <sharedItems containsSemiMixedTypes="0" containsString="0" containsNumber="1" minValue="376.08229999999998" maxValue="376.08229999999998"/>
    </cacheField>
    <cacheField name="Cobertura Gerente Conta" numFmtId="10">
      <sharedItems containsSemiMixedTypes="0" containsString="0" containsNumber="1" containsInteger="1" minValue="1" maxValue="1"/>
    </cacheField>
    <cacheField name="Premio Gerente Conta" numFmtId="164">
      <sharedItems containsSemiMixedTypes="0" containsString="0" containsNumber="1" minValue="1128.2470000000001" maxValue="1128.2470000000001"/>
    </cacheField>
    <cacheField name="Cobertura Plateau" numFmtId="10">
      <sharedItems containsSemiMixedTypes="0" containsString="0" containsNumber="1" containsInteger="1" minValue="1" maxValue="1"/>
    </cacheField>
    <cacheField name="Premio Plateau" numFmtId="164">
      <sharedItems containsSemiMixedTypes="0" containsString="0" containsNumber="1" minValue="376.08229999999998" maxValue="376.08229999999998"/>
    </cacheField>
    <cacheField name="Cobertura Compliance" numFmtId="10">
      <sharedItems containsSemiMixedTypes="0" containsString="0" containsNumber="1" containsInteger="1" minValue="1" maxValue="1"/>
    </cacheField>
    <cacheField name="Premio Compliance" numFmtId="164">
      <sharedItems containsSemiMixedTypes="0" containsString="0" containsNumber="1" minValue="376.08229999999998" maxValue="376.08229999999998"/>
    </cacheField>
    <cacheField name="Premio Total" numFmtId="164">
      <sharedItems containsSemiMixedTypes="0" containsString="0" containsNumber="1" minValue="4184.1282000000001" maxValue="6006.0227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domiro Barbosa" refreshedDate="44061.433350231484" createdVersion="6" refreshedVersion="6" minRefreshableVersion="3" recordCount="6" xr:uid="{174C60FF-37F7-45A6-909A-0168D3746BFF}">
  <cacheSource type="worksheet">
    <worksheetSource name="Gerentes_IV"/>
  </cacheSource>
  <cacheFields count="41">
    <cacheField name="#FK-Email-Gerente" numFmtId="0">
      <sharedItems/>
    </cacheField>
    <cacheField name="Gerente" numFmtId="0">
      <sharedItems count="6">
        <s v="CLAUDIA BUENO (SPC/SPI)"/>
        <s v="FERNANDO LEONY (CO/NO/NE)"/>
        <s v="RAFAEL ESTEVES (RJ/SPI/SUL)"/>
        <s v="(Distribuidores) - Gerente Regional"/>
        <s v="(MS)"/>
        <s v="(ORFÃO) - Gerente Regional"/>
      </sharedItems>
    </cacheField>
    <cacheField name="@-Ativo" numFmtId="0">
      <sharedItems/>
    </cacheField>
    <cacheField name="@-Calculo-IV" numFmtId="0">
      <sharedItems count="2">
        <b v="1"/>
        <b v="0"/>
      </sharedItems>
    </cacheField>
    <cacheField name="Cota BERINERT" numFmtId="3">
      <sharedItems containsSemiMixedTypes="0" containsString="0" containsNumber="1" minValue="0" maxValue="198.79999999999998"/>
    </cacheField>
    <cacheField name="Cota BERIPLEX" numFmtId="3">
      <sharedItems containsSemiMixedTypes="0" containsString="0" containsNumber="1" containsInteger="1" minValue="0" maxValue="860"/>
    </cacheField>
    <cacheField name="Cota HAEMO" numFmtId="3">
      <sharedItems containsSemiMixedTypes="0" containsString="0" containsNumber="1" containsInteger="1" minValue="0" maxValue="777"/>
    </cacheField>
    <cacheField name="Cota HIZENTRA" numFmtId="3">
      <sharedItems containsSemiMixedTypes="0" containsString="0" containsNumber="1" containsInteger="1" minValue="0" maxValue="3239"/>
    </cacheField>
    <cacheField name="Cota PRIVIGEN" numFmtId="3">
      <sharedItems containsSemiMixedTypes="0" containsString="0" containsNumber="1" minValue="0" maxValue="28567"/>
    </cacheField>
    <cacheField name="Demanda BERINERT" numFmtId="3">
      <sharedItems containsSemiMixedTypes="0" containsString="0" containsNumber="1" containsInteger="1" minValue="0" maxValue="252"/>
    </cacheField>
    <cacheField name="Demanda BERIPLEX" numFmtId="3">
      <sharedItems containsSemiMixedTypes="0" containsString="0" containsNumber="1" containsInteger="1" minValue="0" maxValue="467"/>
    </cacheField>
    <cacheField name="Demanda HAEMO" numFmtId="3">
      <sharedItems containsSemiMixedTypes="0" containsString="0" containsNumber="1" containsInteger="1" minValue="0" maxValue="290"/>
    </cacheField>
    <cacheField name="Demanda HIZENTRA" numFmtId="3">
      <sharedItems containsSemiMixedTypes="0" containsString="0" containsNumber="1" containsInteger="1" minValue="0" maxValue="2276"/>
    </cacheField>
    <cacheField name="Demanda PRIVIGEN" numFmtId="3">
      <sharedItems containsSemiMixedTypes="0" containsString="0" containsNumber="1" minValue="0" maxValue="32922.5"/>
    </cacheField>
    <cacheField name="Cobertura BERINERT" numFmtId="10">
      <sharedItems containsMixedTypes="1" containsNumber="1" minValue="7.5999999999999998E-2" maxValue="1.9289999999999998"/>
    </cacheField>
    <cacheField name="Cobertura BERIPLEX" numFmtId="10">
      <sharedItems containsMixedTypes="1" containsNumber="1" minValue="0.36099999999999999" maxValue="0.67900000000000005"/>
    </cacheField>
    <cacheField name="Cobertura HAEMO" numFmtId="10">
      <sharedItems containsMixedTypes="1" containsNumber="1" minValue="0.21" maxValue="0.39500000000000002"/>
    </cacheField>
    <cacheField name="Cobertura HIZENTRA" numFmtId="10">
      <sharedItems containsMixedTypes="1" containsNumber="1" minValue="0.67600000000000005" maxValue="1.1739999999999999"/>
    </cacheField>
    <cacheField name="Cobertura PRIVIGEN" numFmtId="10">
      <sharedItems containsMixedTypes="1" containsNumber="1" minValue="0.97299999999999998" maxValue="1.242"/>
    </cacheField>
    <cacheField name="Premio BERINERT" numFmtId="164">
      <sharedItems containsMixedTypes="1" containsNumber="1" minValue="0" maxValue="1169.3262"/>
    </cacheField>
    <cacheField name="Premio BERIPLEX" numFmtId="164">
      <sharedItems containsMixedTypes="1" containsNumber="1" containsInteger="1" minValue="0" maxValue="0"/>
    </cacheField>
    <cacheField name="Premio HAEMO" numFmtId="164">
      <sharedItems containsMixedTypes="1" containsNumber="1" containsInteger="1" minValue="0" maxValue="0"/>
    </cacheField>
    <cacheField name="Premio HIZENTRA" numFmtId="164">
      <sharedItems containsMixedTypes="1" containsNumber="1" minValue="0" maxValue="1487.1881000000001"/>
    </cacheField>
    <cacheField name="Premio PRIVIGEN" numFmtId="164">
      <sharedItems containsMixedTypes="1" containsNumber="1" minValue="205.83459999999999" maxValue="950.04830000000004"/>
    </cacheField>
    <cacheField name="Cota Venda" numFmtId="164">
      <sharedItems containsMixedTypes="1" containsNumber="1" minValue="24875647.060000017" maxValue="24875647.060000017"/>
    </cacheField>
    <cacheField name="Venda" numFmtId="164">
      <sharedItems containsMixedTypes="1" containsNumber="1" minValue="30797896.699999992" maxValue="30797896.699999992"/>
    </cacheField>
    <cacheField name="Cobertura Venda" numFmtId="10">
      <sharedItems containsMixedTypes="1" containsNumber="1" minValue="1.2389999999999999" maxValue="1.2389999999999999"/>
    </cacheField>
    <cacheField name="Premio Venda" numFmtId="164">
      <sharedItems containsMixedTypes="1" containsNumber="1" minValue="946.98860000000002" maxValue="946.98860000000002"/>
    </cacheField>
    <cacheField name="Meta Visitas" numFmtId="3">
      <sharedItems containsSemiMixedTypes="0" containsString="0" containsNumber="1" containsInteger="1" minValue="0" maxValue="644"/>
    </cacheField>
    <cacheField name="Visitas" numFmtId="1">
      <sharedItems containsSemiMixedTypes="0" containsString="0" containsNumber="1" containsInteger="1" minValue="0" maxValue="848"/>
    </cacheField>
    <cacheField name="Cobertura Visitas" numFmtId="10">
      <sharedItems containsMixedTypes="1" containsNumber="1" minValue="1.3169999999999999" maxValue="1.4509999999999998"/>
    </cacheField>
    <cacheField name="Premio Visitas" numFmtId="164">
      <sharedItems containsMixedTypes="1" containsNumber="1" minValue="2027.6702" maxValue="2246.5680000000002"/>
    </cacheField>
    <cacheField name="Cobertura Connect Mind" numFmtId="10">
      <sharedItems containsMixedTypes="1" containsNumber="1" containsInteger="1" minValue="1" maxValue="1"/>
    </cacheField>
    <cacheField name="Premio Connect Mind" numFmtId="164">
      <sharedItems containsMixedTypes="1" containsNumber="1" minValue="564.12350000000004" maxValue="564.12350000000004"/>
    </cacheField>
    <cacheField name="Cobertura Gerente Conta" numFmtId="10">
      <sharedItems containsMixedTypes="1" containsNumber="1" containsInteger="1" minValue="1" maxValue="1"/>
    </cacheField>
    <cacheField name="Premio Gerente Conta" numFmtId="164">
      <sharedItems containsMixedTypes="1" containsNumber="1" minValue="1692.3705" maxValue="1692.3705"/>
    </cacheField>
    <cacheField name="Cobertura Plateau" numFmtId="10">
      <sharedItems containsMixedTypes="1" containsNumber="1" containsInteger="1" minValue="1" maxValue="1"/>
    </cacheField>
    <cacheField name="Premio Plateau" numFmtId="164">
      <sharedItems containsMixedTypes="1" containsNumber="1" minValue="564.12350000000004" maxValue="564.12350000000004"/>
    </cacheField>
    <cacheField name="Cobertura Compliance" numFmtId="10">
      <sharedItems containsMixedTypes="1" containsNumber="1" containsInteger="1" minValue="1" maxValue="1"/>
    </cacheField>
    <cacheField name="Premio Compliance" numFmtId="164">
      <sharedItems containsMixedTypes="1" containsNumber="1" minValue="564.12350000000004" maxValue="564.12350000000004"/>
    </cacheField>
    <cacheField name="Premio Total" numFmtId="164">
      <sharedItems containsMixedTypes="1" containsNumber="1" minValue="6784.1322" maxValue="9833.5848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fb" refreshedDate="44077.642608796297" backgroundQuery="1" createdVersion="6" refreshedVersion="6" minRefreshableVersion="3" recordCount="0" supportSubquery="1" supportAdvancedDrill="1" xr:uid="{8E27FBAF-C8BF-4054-832D-86D3BBDEABA1}">
  <cacheSource type="external" connectionId="40"/>
  <cacheFields count="10">
    <cacheField name="[Representantes-HSP].[#PK-Email-Representante-HSP].[#PK-Email-Representante-HSP]" caption="#PK-Email-Representante-HSP" numFmtId="0" hierarchy="124" level="1">
      <sharedItems containsSemiMixedTypes="0" containsNonDate="0" containsString="0"/>
    </cacheField>
    <cacheField name="[Datas].[AnoMes-Fiscal].[AnoMes-Fiscal]" caption="AnoMes-Fiscal" numFmtId="0" hierarchy="30" level="1">
      <sharedItems containsSemiMixedTypes="0" containsNonDate="0" containsString="0"/>
    </cacheField>
    <cacheField name="[Produtos-Linhas].[@-HSP].[@-HSP]" caption="@-HSP" numFmtId="0" hierarchy="100" level="1">
      <sharedItems containsSemiMixedTypes="0" containsNonDate="0" containsString="0"/>
    </cacheField>
    <cacheField name="[Produtos-Linhas].[Linha].[Linha]" caption="Linha" numFmtId="0" hierarchy="94" level="1">
      <sharedItems count="3">
        <s v="BERIPLEX"/>
        <s v="HAEMO"/>
        <s v="PRIVIGEN"/>
      </sharedItems>
    </cacheField>
    <cacheField name="[Estabelecimentos].[Estabelecimento-CNPJ].[Estabelecimento-CNPJ]" caption="Estabelecimento-CNPJ" numFmtId="0" hierarchy="63" level="1">
      <sharedItems count="24">
        <s v="AMICO SAUDE LTDA - MOJI DAS CRUZES-SP (51.722.957/0143-02)"/>
        <s v="AMICO SAUDE LTDA - SÃO PAULO-SP (51.722.957/0102-26)"/>
        <s v="AUTARQUIA HOSPITALAR MUNICIPAL - SÃO PAULO-SP (04.995.603/0001-21)"/>
        <s v="BENEFICENCIA NIPO BRASILEIRA DE SAO PAULO - SÃO PAULO-SP (60.992.427/0006-50)"/>
        <s v="CIAT CENTRO DE INFUSAO ALTO TIETE LTDA - MOJI DAS CRUZES-SP (21.925.244/0001-55)"/>
        <s v="FUNDO MUNICIPAL DE SAUDE - FMS - SÃO PAULO-SP (13.864.377/0001-30)"/>
        <s v="HOSPITAL 9 DE JULHO - SÃO PAULO-SP (60.884.855/0003-16)"/>
        <s v="HOSPITAL ALEMAO OSWALDO CRUZ - SÃO PAULO-SP (60.726.502/0001-26)"/>
        <s v="HOSPITAL ALEMAO OSWALDO CRUZ - SÃO PAULO-SP (60.726.502/0007-11)"/>
        <s v="HOSPITAL BANDEIRANTES LTDA - SÃO PAULO-SP (21.371.777/0001-32)"/>
        <s v="HOSPITAL DO CORACAO - SÃO PAULO-SP (60.453.024/0003-90)"/>
        <s v="HOSPITAL GERAL DE PIRAJUSSARA - TABOÃO DA SERRA-SP (61.699.567/0004-35)"/>
        <s v="HOSPITAL MATERNIDADE FREI GALVAO - GUARATINGUETÁ-SP (51.612.828/0001-31)"/>
        <s v="HOSPITAL REGIONAL DE SOROCABA - BATA BRANCA - SOROCABA-SP (61.699.567/0078-71)"/>
        <s v="HOSPITAL REGIONAL DO VALE DO PARAIBA - TAUBATÉ-SP (60.975.737/0072-45)"/>
        <s v="HOSPITAL SANTA PAULA LTDA - SÃO PAULO-SP (60.777.901/0001-16)"/>
        <s v="HOSPITAL VIVALLE (REDE DOR) - SÃO JOSÉ DOS CAMPOS-SP (06.047.087/0030-73)"/>
        <s v="INSTITUTO DE ONCOLOGIA PREVENT SENIOR - SÃO PAULO-SP (00.461.479/0045-84)"/>
        <s v="ONCOVIDA - TAUBATÉ-SP (03.511.658/0001-56)"/>
        <s v="REAL E BENEMERITA ASSOCIACAO PORTUGUESA DE BENEFICENCIA - SÃO PAULO-SP (61.599.908/0001-58)"/>
        <s v="SANTA CASA DE ITU - ITU-SP (60.975.737/0068-69)"/>
        <s v="SOCIEDADE BENEFICENTE DE PRESIDENTE BERNARDES - SÃO PAULO-SP (19.803.199/0001-14)"/>
        <s v="UNIMED SAO JOSE DOS CAMPOS - HOSPITAL SANTOS DUMONT - SÃO JOSÉ DOS CAMPOS-SP (60.214.517/0016-91)"/>
        <s v="UNIMED SOROCABA - SOROCABA-SP (45.399.961/0002-30)"/>
      </sharedItems>
    </cacheField>
    <cacheField name="[Measures].[Soma de Demanda-IV 2]" caption="Soma de Demanda-IV 2" numFmtId="0" hierarchy="249" level="32767"/>
    <cacheField name="[Demanda].[@-Ministerio].[@-Ministerio]" caption="@-Ministerio" numFmtId="0" hierarchy="37" level="1">
      <sharedItems containsSemiMixedTypes="0" containsNonDate="0" containsString="0"/>
    </cacheField>
    <cacheField name="[Demanda].[@-Distribuidor].[@-Distribuidor]" caption="@-Distribuidor" numFmtId="0" hierarchy="38" level="1">
      <sharedItems containsSemiMixedTypes="0" containsNonDate="0" containsString="0"/>
    </cacheField>
    <cacheField name="[Demanda].[@-IV-Demanda].[@-IV-Demanda]" caption="@-IV-Demanda" numFmtId="0" hierarchy="39" level="1">
      <sharedItems containsSemiMixedTypes="0" containsNonDate="0" containsString="0"/>
    </cacheField>
    <cacheField name="[Representantes-HSP].[@-Calculo-IV].[@-Calculo-IV]" caption="@-Calculo-IV" numFmtId="0" hierarchy="129" level="1">
      <sharedItems containsSemiMixedTypes="0" containsNonDate="0" containsString="0"/>
    </cacheField>
  </cacheFields>
  <cacheHierarchies count="250">
    <cacheHierarchy uniqueName="[Cota-Demanda].[#FK-AnoMes-Unv]" caption="#FK-AnoMes-Unv" attribute="1" defaultMemberUniqueName="[Cota-Demanda].[#FK-AnoMes-Unv].[All]" allUniqueName="[Cota-Demanda].[#FK-AnoMes-Unv].[All]" dimensionUniqueName="[Cota-Demanda]" displayFolder="" count="0" memberValueDatatype="5" unbalanced="0"/>
    <cacheHierarchy uniqueName="[Cota-Demanda].[#FK-Cod-Linha]" caption="#FK-Cod-Linha" attribute="1" defaultMemberUniqueName="[Cota-Demanda].[#FK-Cod-Linha].[All]" allUniqueName="[Cota-Demanda].[#FK-Cod-Linha].[All]" dimensionUniqueName="[Cota-Demanda]" displayFolder="" count="0" memberValueDatatype="5" unbalanced="0"/>
    <cacheHierarchy uniqueName="[Cota-Demanda].[#FK-Email-Gerente]" caption="#FK-Email-Gerente" attribute="1" defaultMemberUniqueName="[Cota-Demanda].[#FK-Email-Gerente].[All]" allUniqueName="[Cota-Demanda].[#FK-Email-Gerente].[All]" dimensionUniqueName="[Cota-Demanda]" displayFolder="" count="0" memberValueDatatype="130" unbalanced="0"/>
    <cacheHierarchy uniqueName="[Cota-Demanda].[#FK-Email-Representante]" caption="#FK-Email-Representante" attribute="1" defaultMemberUniqueName="[Cota-Demanda].[#FK-Email-Representante].[All]" allUniqueName="[Cota-Demanda].[#FK-Email-Representante].[All]" dimensionUniqueName="[Cota-Demanda]" displayFolder="" count="0" memberValueDatatype="130" unbalanced="0"/>
    <cacheHierarchy uniqueName="[Cota-Demanda].[#FK-Email-Representante_ESP]" caption="#FK-Email-Representante_ESP" attribute="1" defaultMemberUniqueName="[Cota-Demanda].[#FK-Email-Representante_ESP].[All]" allUniqueName="[Cota-Demanda].[#FK-Email-Representante_ESP].[All]" dimensionUniqueName="[Cota-Demanda]" displayFolder="" count="0" memberValueDatatype="130" unbalanced="0"/>
    <cacheHierarchy uniqueName="[Cota-Demanda].[#FK-Email-Representante_HSP]" caption="#FK-Email-Representante_HSP" attribute="1" defaultMemberUniqueName="[Cota-Demanda].[#FK-Email-Representante_HSP].[All]" allUniqueName="[Cota-Demanda].[#FK-Email-Representante_HSP].[All]" dimensionUniqueName="[Cota-Demanda]" displayFolder="" count="0" memberValueDatatype="130" unbalanced="0"/>
    <cacheHierarchy uniqueName="[Cota-Demanda].[#FK-Email-Representante_EMH]" caption="#FK-Email-Representante_EMH" attribute="1" defaultMemberUniqueName="[Cota-Demanda].[#FK-Email-Representante_EMH].[All]" allUniqueName="[Cota-Demanda].[#FK-Email-Representante_EMH].[All]" dimensionUniqueName="[Cota-Demanda]" displayFolder="" count="0" memberValueDatatype="130" unbalanced="0"/>
    <cacheHierarchy uniqueName="[Cota-Demanda].[@-ESP]" caption="@-ESP" attribute="1" defaultMemberUniqueName="[Cota-Demanda].[@-ESP].[All]" allUniqueName="[Cota-Demanda].[@-ESP].[All]" dimensionUniqueName="[Cota-Demanda]" displayFolder="" count="0" memberValueDatatype="11" unbalanced="0"/>
    <cacheHierarchy uniqueName="[Cota-Demanda].[@-HSP]" caption="@-HSP" attribute="1" defaultMemberUniqueName="[Cota-Demanda].[@-HSP].[All]" allUniqueName="[Cota-Demanda].[@-HSP].[All]" dimensionUniqueName="[Cota-Demanda]" displayFolder="" count="0" memberValueDatatype="11" unbalanced="0"/>
    <cacheHierarchy uniqueName="[Cota-Demanda].[@-EMH]" caption="@-EMH" attribute="1" defaultMemberUniqueName="[Cota-Demanda].[@-EMH].[All]" allUniqueName="[Cota-Demanda].[@-EMH].[All]" dimensionUniqueName="[Cota-Demanda]" displayFolder="" count="0" memberValueDatatype="11" unbalanced="0"/>
    <cacheHierarchy uniqueName="[Cota-Demanda].[@-Garantido]" caption="@-Garantido" attribute="1" defaultMemberUniqueName="[Cota-Demanda].[@-Garantido].[All]" allUniqueName="[Cota-Demanda].[@-Garantido].[All]" dimensionUniqueName="[Cota-Demanda]" displayFolder="" count="0" memberValueDatatype="11" unbalanced="0"/>
    <cacheHierarchy uniqueName="[Cota-Demanda].[@-IV-Demanda]" caption="@-IV-Demanda" attribute="1" defaultMemberUniqueName="[Cota-Demanda].[@-IV-Demanda].[All]" allUniqueName="[Cota-Demanda].[@-IV-Demanda].[All]" dimensionUniqueName="[Cota-Demanda]" displayFolder="" count="0" memberValueDatatype="11" unbalanced="0"/>
    <cacheHierarchy uniqueName="[Cota-Demanda].[Cota-Representante]" caption="Cota-Representante" attribute="1" defaultMemberUniqueName="[Cota-Demanda].[Cota-Representante].[All]" allUniqueName="[Cota-Demanda].[Cota-Representante].[All]" dimensionUniqueName="[Cota-Demanda]" displayFolder="" count="0" memberValueDatatype="5" unbalanced="0"/>
    <cacheHierarchy uniqueName="[Cota-Demanda].[Cota-Gerente]" caption="Cota-Gerente" attribute="1" defaultMemberUniqueName="[Cota-Demanda].[Cota-Gerente].[All]" allUniqueName="[Cota-Demanda].[Cota-Gerente].[All]" dimensionUniqueName="[Cota-Demanda]" displayFolder="" count="0" memberValueDatatype="5" unbalanced="0"/>
    <cacheHierarchy uniqueName="[Cota-Venda].[#FK-AnoMes-Unv]" caption="#FK-AnoMes-Unv" attribute="1" defaultMemberUniqueName="[Cota-Venda].[#FK-AnoMes-Unv].[All]" allUniqueName="[Cota-Venda].[#FK-AnoMes-Unv].[All]" dimensionUniqueName="[Cota-Venda]" displayFolder="" count="0" memberValueDatatype="5" unbalanced="0"/>
    <cacheHierarchy uniqueName="[Cota-Venda].[#FK-Cod-Linha]" caption="#FK-Cod-Linha" attribute="1" defaultMemberUniqueName="[Cota-Venda].[#FK-Cod-Linha].[All]" allUniqueName="[Cota-Venda].[#FK-Cod-Linha].[All]" dimensionUniqueName="[Cota-Venda]" displayFolder="" count="0" memberValueDatatype="5" unbalanced="0"/>
    <cacheHierarchy uniqueName="[Cota-Venda].[#FK-Cod-Produto]" caption="#FK-Cod-Produto" attribute="1" defaultMemberUniqueName="[Cota-Venda].[#FK-Cod-Produto].[All]" allUniqueName="[Cota-Venda].[#FK-Cod-Produto].[All]" dimensionUniqueName="[Cota-Venda]" displayFolder="" count="0" memberValueDatatype="130" unbalanced="0"/>
    <cacheHierarchy uniqueName="[Cota-Venda].[#FK-Email-Gerente]" caption="#FK-Email-Gerente" attribute="1" defaultMemberUniqueName="[Cota-Venda].[#FK-Email-Gerente].[All]" allUniqueName="[Cota-Venda].[#FK-Email-Gerente].[All]" dimensionUniqueName="[Cota-Venda]" displayFolder="" count="0" memberValueDatatype="130" unbalanced="0"/>
    <cacheHierarchy uniqueName="[Cota-Venda].[#FK-Email-Representante]" caption="#FK-Email-Representante" attribute="1" defaultMemberUniqueName="[Cota-Venda].[#FK-Email-Representante].[All]" allUniqueName="[Cota-Venda].[#FK-Email-Representante].[All]" dimensionUniqueName="[Cota-Venda]" displayFolder="" count="0" memberValueDatatype="130" unbalanced="0"/>
    <cacheHierarchy uniqueName="[Cota-Venda].[@-Garantido]" caption="@-Garantido" attribute="1" defaultMemberUniqueName="[Cota-Venda].[@-Garantido].[All]" allUniqueName="[Cota-Venda].[@-Garantido].[All]" dimensionUniqueName="[Cota-Venda]" displayFolder="" count="0" memberValueDatatype="11" unbalanced="0"/>
    <cacheHierarchy uniqueName="[Cota-Venda].[@-IV-Venda]" caption="@-IV-Venda" attribute="1" defaultMemberUniqueName="[Cota-Venda].[@-IV-Venda].[All]" allUniqueName="[Cota-Venda].[@-IV-Venda].[All]" dimensionUniqueName="[Cota-Venda]" displayFolder="" count="0" memberValueDatatype="11" unbalanced="0"/>
    <cacheHierarchy uniqueName="[Cota-Venda].[Cota-Venda]" caption="Cota-Venda" attribute="1" defaultMemberUniqueName="[Cota-Venda].[Cota-Venda].[All]" allUniqueName="[Cota-Venda].[Cota-Venda].[All]" dimensionUniqueName="[Cota-Venda]" displayFolder="" count="0" memberValueDatatype="5" unbalanced="0"/>
    <cacheHierarchy uniqueName="[Datas].[#PK-AnoMes-Unv]" caption="#PK-AnoMes-Unv" attribute="1" defaultMemberUniqueName="[Datas].[#PK-AnoMes-Unv].[All]" allUniqueName="[Datas].[#PK-AnoMes-Unv].[All]" dimensionUniqueName="[Datas]" displayFolder="" count="0" memberValueDatatype="5" unbalanced="0"/>
    <cacheHierarchy uniqueName="[Datas].[#Idx-Ano-Unv]" caption="#Idx-Ano-Unv" attribute="1" defaultMemberUniqueName="[Datas].[#Idx-Ano-Unv].[All]" allUniqueName="[Datas].[#Idx-Ano-Unv].[All]" dimensionUniqueName="[Datas]" displayFolder="" count="0" memberValueDatatype="20" unbalanced="0"/>
    <cacheHierarchy uniqueName="[Datas].[#Idx-Mes-Unv]" caption="#Idx-Mes-Unv" attribute="1" defaultMemberUniqueName="[Datas].[#Idx-Mes-Unv].[All]" allUniqueName="[Datas].[#Idx-Mes-Unv].[All]" dimensionUniqueName="[Datas]" displayFolder="" count="0" memberValueDatatype="20" unbalanced="0"/>
    <cacheHierarchy uniqueName="[Datas].[#Idx-Ano-Fiscal]" caption="#Idx-Ano-Fiscal" attribute="1" defaultMemberUniqueName="[Datas].[#Idx-Ano-Fiscal].[All]" allUniqueName="[Datas].[#Idx-Ano-Fiscal].[All]" dimensionUniqueName="[Datas]" displayFolder="" count="0" memberValueDatatype="5" unbalanced="0"/>
    <cacheHierarchy uniqueName="[Datas].[#Idx-Tri-Fiscal]" caption="#Idx-Tri-Fiscal" attribute="1" defaultMemberUniqueName="[Datas].[#Idx-Tri-Fiscal].[All]" allUniqueName="[Datas].[#Idx-Tri-Fiscal].[All]" dimensionUniqueName="[Datas]" displayFolder="" count="0" memberValueDatatype="5" unbalanced="0"/>
    <cacheHierarchy uniqueName="[Datas].[#Idx-Mes-Fiscal]" caption="#Idx-Mes-Fiscal" attribute="1" defaultMemberUniqueName="[Datas].[#Idx-Mes-Fiscal].[All]" allUniqueName="[Datas].[#Idx-Mes-Fiscal].[All]" dimensionUniqueName="[Datas]" displayFolder="" count="0" memberValueDatatype="5" unbalanced="0"/>
    <cacheHierarchy uniqueName="[Datas].[Ano-Fiscal]" caption="Ano-Fiscal" attribute="1" defaultMemberUniqueName="[Datas].[Ano-Fiscal].[All]" allUniqueName="[Datas].[Ano-Fiscal].[All]" dimensionUniqueName="[Datas]" displayFolder="" count="0" memberValueDatatype="130" unbalanced="0"/>
    <cacheHierarchy uniqueName="[Datas].[Tri-Fiscal]" caption="Tri-Fiscal" attribute="1" defaultMemberUniqueName="[Datas].[Tri-Fiscal].[All]" allUniqueName="[Datas].[Tri-Fiscal].[All]" dimensionUniqueName="[Datas]" displayFolder="" count="0" memberValueDatatype="130" unbalanced="0"/>
    <cacheHierarchy uniqueName="[Datas].[AnoMes-Fiscal]" caption="AnoMes-Fiscal" attribute="1" defaultMemberUniqueName="[Datas].[AnoMes-Fiscal].[All]" allUniqueName="[Datas].[AnoMes-Fiscal].[All]" dimensionUniqueName="[Datas]" displayFolder="" count="2" memberValueDatatype="130" unbalanced="0">
      <fieldsUsage count="2">
        <fieldUsage x="-1"/>
        <fieldUsage x="1"/>
      </fieldsUsage>
    </cacheHierarchy>
    <cacheHierarchy uniqueName="[Datas].[Mes-Fiscal]" caption="Mes-Fiscal" attribute="1" defaultMemberUniqueName="[Datas].[Mes-Fiscal].[All]" allUniqueName="[Datas].[Mes-Fiscal].[All]" dimensionUniqueName="[Datas]" displayFolder="" count="0" memberValueDatatype="130" unbalanced="0"/>
    <cacheHierarchy uniqueName="[Demanda].[#FK-AnoMes-Unv]" caption="#FK-AnoMes-Unv" attribute="1" defaultMemberUniqueName="[Demanda].[#FK-AnoMes-Unv].[All]" allUniqueName="[Demanda].[#FK-AnoMes-Unv].[All]" dimensionUniqueName="[Demanda]" displayFolder="" count="0" memberValueDatatype="5" unbalanced="0"/>
    <cacheHierarchy uniqueName="[Demanda].[#FK-Cod-Linha]" caption="#FK-Cod-Linha" attribute="1" defaultMemberUniqueName="[Demanda].[#FK-Cod-Linha].[All]" allUniqueName="[Demanda].[#FK-Cod-Linha].[All]" dimensionUniqueName="[Demanda]" displayFolder="" count="0" memberValueDatatype="5" unbalanced="0"/>
    <cacheHierarchy uniqueName="[Demanda].[#FK-Cod-Produto]" caption="#FK-Cod-Produto" attribute="1" defaultMemberUniqueName="[Demanda].[#FK-Cod-Produto].[All]" allUniqueName="[Demanda].[#FK-Cod-Produto].[All]" dimensionUniqueName="[Demanda]" displayFolder="" count="0" memberValueDatatype="130" unbalanced="0"/>
    <cacheHierarchy uniqueName="[Demanda].[#FK-CNPJ-Distribuidor]" caption="#FK-CNPJ-Distribuidor" attribute="1" defaultMemberUniqueName="[Demanda].[#FK-CNPJ-Distribuidor].[All]" allUniqueName="[Demanda].[#FK-CNPJ-Distribuidor].[All]" dimensionUniqueName="[Demanda]" displayFolder="" count="0" memberValueDatatype="5" unbalanced="0"/>
    <cacheHierarchy uniqueName="[Demanda].[#FK-CNPJ-Estabelecimento]" caption="#FK-CNPJ-Estabelecimento" attribute="1" defaultMemberUniqueName="[Demanda].[#FK-CNPJ-Estabelecimento].[All]" allUniqueName="[Demanda].[#FK-CNPJ-Estabelecimento].[All]" dimensionUniqueName="[Demanda]" displayFolder="" count="0" memberValueDatatype="5" unbalanced="0"/>
    <cacheHierarchy uniqueName="[Demanda].[@-Ministerio]" caption="@-Ministerio" attribute="1" defaultMemberUniqueName="[Demanda].[@-Ministerio].[All]" allUniqueName="[Demanda].[@-Ministerio].[All]" dimensionUniqueName="[Demanda]" displayFolder="" count="2" memberValueDatatype="11" unbalanced="0">
      <fieldsUsage count="2">
        <fieldUsage x="-1"/>
        <fieldUsage x="6"/>
      </fieldsUsage>
    </cacheHierarchy>
    <cacheHierarchy uniqueName="[Demanda].[@-Distribuidor]" caption="@-Distribuidor" attribute="1" defaultMemberUniqueName="[Demanda].[@-Distribuidor].[All]" allUniqueName="[Demanda].[@-Distribuidor].[All]" dimensionUniqueName="[Demanda]" displayFolder="" count="2" memberValueDatatype="11" unbalanced="0">
      <fieldsUsage count="2">
        <fieldUsage x="-1"/>
        <fieldUsage x="7"/>
      </fieldsUsage>
    </cacheHierarchy>
    <cacheHierarchy uniqueName="[Demanda].[@-IV-Demanda]" caption="@-IV-Demanda" attribute="1" defaultMemberUniqueName="[Demanda].[@-IV-Demanda].[All]" allUniqueName="[Demanda].[@-IV-Demanda].[All]" dimensionUniqueName="[Demanda]" displayFolder="" count="2" memberValueDatatype="11" unbalanced="0">
      <fieldsUsage count="2">
        <fieldUsage x="-1"/>
        <fieldUsage x="8"/>
      </fieldsUsage>
    </cacheHierarchy>
    <cacheHierarchy uniqueName="[Demanda].[#FK-Email-Gerente]" caption="#FK-Email-Gerente" attribute="1" defaultMemberUniqueName="[Demanda].[#FK-Email-Gerente].[All]" allUniqueName="[Demanda].[#FK-Email-Gerente].[All]" dimensionUniqueName="[Demanda]" displayFolder="" count="0" memberValueDatatype="130" unbalanced="0"/>
    <cacheHierarchy uniqueName="[Demanda].[#FK-Email-Representante-ESP]" caption="#FK-Email-Representante-ESP" attribute="1" defaultMemberUniqueName="[Demanda].[#FK-Email-Representante-ESP].[All]" allUniqueName="[Demanda].[#FK-Email-Representante-ESP].[All]" dimensionUniqueName="[Demanda]" displayFolder="" count="0" memberValueDatatype="130" unbalanced="0"/>
    <cacheHierarchy uniqueName="[Demanda].[#FK-Email-Representante-HSP]" caption="#FK-Email-Representante-HSP" attribute="1" defaultMemberUniqueName="[Demanda].[#FK-Email-Representante-HSP].[All]" allUniqueName="[Demanda].[#FK-Email-Representante-HSP].[All]" dimensionUniqueName="[Demanda]" displayFolder="" count="0" memberValueDatatype="130" unbalanced="0"/>
    <cacheHierarchy uniqueName="[Demanda].[#FK-Email-Representante-EMH]" caption="#FK-Email-Representante-EMH" attribute="1" defaultMemberUniqueName="[Demanda].[#FK-Email-Representante-EMH].[All]" allUniqueName="[Demanda].[#FK-Email-Representante-EMH].[All]" dimensionUniqueName="[Demanda]" displayFolder="" count="0" memberValueDatatype="130" unbalanced="0"/>
    <cacheHierarchy uniqueName="[Demanda].[Demanda-UN]" caption="Demanda-UN" attribute="1" defaultMemberUniqueName="[Demanda].[Demanda-UN].[All]" allUniqueName="[Demanda].[Demanda-UN].[All]" dimensionUniqueName="[Demanda]" displayFolder="" count="0" memberValueDatatype="5" unbalanced="0"/>
    <cacheHierarchy uniqueName="[Demanda].[Demanda-EQ]" caption="Demanda-EQ" attribute="1" defaultMemberUniqueName="[Demanda].[Demanda-EQ].[All]" allUniqueName="[Demanda].[Demanda-EQ].[All]" dimensionUniqueName="[Demanda]" displayFolder="" count="0" memberValueDatatype="5" unbalanced="0"/>
    <cacheHierarchy uniqueName="[Demanda].[Demanda-BRL]" caption="Demanda-BRL" attribute="1" defaultMemberUniqueName="[Demanda].[Demanda-BRL].[All]" allUniqueName="[Demanda].[Demanda-BRL].[All]" dimensionUniqueName="[Demanda]" displayFolder="" count="0" memberValueDatatype="5" unbalanced="0"/>
    <cacheHierarchy uniqueName="[Demanda].[Demanda-IV]" caption="Demanda-IV" attribute="1" defaultMemberUniqueName="[Demanda].[Demanda-IV].[All]" allUniqueName="[Demanda].[Demanda-IV].[All]" dimensionUniqueName="[Demanda]" displayFolder="" count="0" memberValueDatatype="5" unbalanced="0"/>
    <cacheHierarchy uniqueName="[Demanda-IV-REP].[#FK-AnoMes-Unv]" caption="#FK-AnoMes-Unv" attribute="1" defaultMemberUniqueName="[Demanda-IV-REP].[#FK-AnoMes-Unv].[All]" allUniqueName="[Demanda-IV-REP].[#FK-AnoMes-Unv].[All]" dimensionUniqueName="[Demanda-IV-REP]" displayFolder="" count="0" memberValueDatatype="5" unbalanced="0"/>
    <cacheHierarchy uniqueName="[Demanda-IV-REP].[#FK-Email-Representante]" caption="#FK-Email-Representante" attribute="1" defaultMemberUniqueName="[Demanda-IV-REP].[#FK-Email-Representante].[All]" allUniqueName="[Demanda-IV-REP].[#FK-Email-Representante].[All]" dimensionUniqueName="[Demanda-IV-REP]" displayFolder="" count="0" memberValueDatatype="130" unbalanced="0"/>
    <cacheHierarchy uniqueName="[Demanda-IV-REP].[#FK-Cod-Linha]" caption="#FK-Cod-Linha" attribute="1" defaultMemberUniqueName="[Demanda-IV-REP].[#FK-Cod-Linha].[All]" allUniqueName="[Demanda-IV-REP].[#FK-Cod-Linha].[All]" dimensionUniqueName="[Demanda-IV-REP]" displayFolder="" count="0" memberValueDatatype="5" unbalanced="0"/>
    <cacheHierarchy uniqueName="[Demanda-IV-REP].[@-ESP]" caption="@-ESP" attribute="1" defaultMemberUniqueName="[Demanda-IV-REP].[@-ESP].[All]" allUniqueName="[Demanda-IV-REP].[@-ESP].[All]" dimensionUniqueName="[Demanda-IV-REP]" displayFolder="" count="0" memberValueDatatype="11" unbalanced="0"/>
    <cacheHierarchy uniqueName="[Demanda-IV-REP].[@-HSP]" caption="@-HSP" attribute="1" defaultMemberUniqueName="[Demanda-IV-REP].[@-HSP].[All]" allUniqueName="[Demanda-IV-REP].[@-HSP].[All]" dimensionUniqueName="[Demanda-IV-REP]" displayFolder="" count="0" memberValueDatatype="11" unbalanced="0"/>
    <cacheHierarchy uniqueName="[Demanda-IV-REP].[@-EMH]" caption="@-EMH" attribute="1" defaultMemberUniqueName="[Demanda-IV-REP].[@-EMH].[All]" allUniqueName="[Demanda-IV-REP].[@-EMH].[All]" dimensionUniqueName="[Demanda-IV-REP]" displayFolder="" count="0" memberValueDatatype="11" unbalanced="0"/>
    <cacheHierarchy uniqueName="[Demanda-IV-REP].[Demanda-IV]" caption="Demanda-IV" attribute="1" defaultMemberUniqueName="[Demanda-IV-REP].[Demanda-IV].[All]" allUniqueName="[Demanda-IV-REP].[Demanda-IV].[All]" dimensionUniqueName="[Demanda-IV-REP]" displayFolder="" count="0" memberValueDatatype="5" unbalanced="0"/>
    <cacheHierarchy uniqueName="[Distribuidores].[#PK-CNPJ-Distribuidor]" caption="#PK-CNPJ-Distribuidor" attribute="1" defaultMemberUniqueName="[Distribuidores].[#PK-CNPJ-Distribuidor].[All]" allUniqueName="[Distribuidores].[#PK-CNPJ-Distribuidor].[All]" dimensionUniqueName="[Distribuidores]" displayFolder="" count="0" memberValueDatatype="5" unbalanced="0"/>
    <cacheHierarchy uniqueName="[Distribuidores].[#FK-Id-Grupo-Distribuidor]" caption="#FK-Id-Grupo-Distribuidor" attribute="1" defaultMemberUniqueName="[Distribuidores].[#FK-Id-Grupo-Distribuidor].[All]" allUniqueName="[Distribuidores].[#FK-Id-Grupo-Distribuidor].[All]" dimensionUniqueName="[Distribuidores]" displayFolder="" count="0" memberValueDatatype="5" unbalanced="0"/>
    <cacheHierarchy uniqueName="[Distribuidores].[Distribuidor]" caption="Distribuidor" attribute="1" defaultMemberUniqueName="[Distribuidores].[Distribuidor].[All]" allUniqueName="[Distribuidores].[Distribuidor].[All]" dimensionUniqueName="[Distribuidores]" displayFolder="" count="0" memberValueDatatype="130" unbalanced="0"/>
    <cacheHierarchy uniqueName="[Distribuidores].[Grupo-Distribuidor]" caption="Grupo-Distribuidor" attribute="1" defaultMemberUniqueName="[Distribuidores].[Grupo-Distribuidor].[All]" allUniqueName="[Distribuidores].[Grupo-Distribuidor].[All]" dimensionUniqueName="[Distribuidores]" displayFolder="" count="0" memberValueDatatype="130" unbalanced="0"/>
    <cacheHierarchy uniqueName="[Distribuidores].[@-Ativo-Distribuidor]" caption="@-Ativo-Distribuidor" attribute="1" defaultMemberUniqueName="[Distribuidores].[@-Ativo-Distribuidor].[All]" allUniqueName="[Distribuidores].[@-Ativo-Distribuidor].[All]" dimensionUniqueName="[Distribuidores]" displayFolder="" count="0" memberValueDatatype="11" unbalanced="0"/>
    <cacheHierarchy uniqueName="[Distribuidores].[@-Ativo-Grupo-Distribuidor]" caption="@-Ativo-Grupo-Distribuidor" attribute="1" defaultMemberUniqueName="[Distribuidores].[@-Ativo-Grupo-Distribuidor].[All]" allUniqueName="[Distribuidores].[@-Ativo-Grupo-Distribuidor].[All]" dimensionUniqueName="[Distribuidores]" displayFolder="" count="0" memberValueDatatype="11" unbalanced="0"/>
    <cacheHierarchy uniqueName="[Estabelecimentos].[#PK-CNPJ-Estabelecimento]" caption="#PK-CNPJ-Estabelecimento" attribute="1" defaultMemberUniqueName="[Estabelecimentos].[#PK-CNPJ-Estabelecimento].[All]" allUniqueName="[Estabelecimentos].[#PK-CNPJ-Estabelecimento].[All]" dimensionUniqueName="[Estabelecimentos]" displayFolder="" count="0" memberValueDatatype="5" unbalanced="0"/>
    <cacheHierarchy uniqueName="[Estabelecimentos].[ESTABELECIMENTO]" caption="ESTABELECIMENTO" attribute="1" defaultMemberUniqueName="[Estabelecimentos].[ESTABELECIMENTO].[All]" allUniqueName="[Estabelecimentos].[ESTABELECIMENTO].[All]" dimensionUniqueName="[Estabelecimentos]" displayFolder="" count="0" memberValueDatatype="130" unbalanced="0"/>
    <cacheHierarchy uniqueName="[Estabelecimentos].[Estabelecimento-CNPJ]" caption="Estabelecimento-CNPJ" attribute="1" defaultMemberUniqueName="[Estabelecimentos].[Estabelecimento-CNPJ].[All]" allUniqueName="[Estabelecimentos].[Estabelecimento-CNPJ].[All]" dimensionUniqueName="[Estabelecimentos]" displayFolder="" count="2" memberValueDatatype="130" unbalanced="0">
      <fieldsUsage count="2">
        <fieldUsage x="-1"/>
        <fieldUsage x="4"/>
      </fieldsUsage>
    </cacheHierarchy>
    <cacheHierarchy uniqueName="[Estabelecimentos].[CIDADE]" caption="CIDADE" attribute="1" defaultMemberUniqueName="[Estabelecimentos].[CIDADE].[All]" allUniqueName="[Estabelecimentos].[CIDADE].[All]" dimensionUniqueName="[Estabelecimentos]" displayFolder="" count="0" memberValueDatatype="130" unbalanced="0"/>
    <cacheHierarchy uniqueName="[Estabelecimentos].[UF]" caption="UF" attribute="1" defaultMemberUniqueName="[Estabelecimentos].[UF].[All]" allUniqueName="[Estabelecimentos].[UF].[All]" dimensionUniqueName="[Estabelecimentos]" displayFolder="" count="0" memberValueDatatype="130" unbalanced="0"/>
    <cacheHierarchy uniqueName="[Estabelecimentos].[ESFERA]" caption="ESFERA" attribute="1" defaultMemberUniqueName="[Estabelecimentos].[ESFERA].[All]" allUniqueName="[Estabelecimentos].[ESFERA].[All]" dimensionUniqueName="[Estabelecimentos]" displayFolder="" count="0" memberValueDatatype="130" unbalanced="0"/>
    <cacheHierarchy uniqueName="[Estabelecimentos].[@-Ativo]" caption="@-Ativo" attribute="1" defaultMemberUniqueName="[Estabelecimentos].[@-Ativo].[All]" allUniqueName="[Estabelecimentos].[@-Ativo].[All]" dimensionUniqueName="[Estabelecimentos]" displayFolder="" count="0" memberValueDatatype="11" unbalanced="0"/>
    <cacheHierarchy uniqueName="[Estabelecimentos].[@-Ministerio]" caption="@-Ministerio" attribute="1" defaultMemberUniqueName="[Estabelecimentos].[@-Ministerio].[All]" allUniqueName="[Estabelecimentos].[@-Ministerio].[All]" dimensionUniqueName="[Estabelecimentos]" displayFolder="" count="0" memberValueDatatype="11" unbalanced="0"/>
    <cacheHierarchy uniqueName="[Estabelecimentos].[@-Distribuidor]" caption="@-Distribuidor" attribute="1" defaultMemberUniqueName="[Estabelecimentos].[@-Distribuidor].[All]" allUniqueName="[Estabelecimentos].[@-Distribuidor].[All]" dimensionUniqueName="[Estabelecimentos]" displayFolder="" count="0" memberValueDatatype="11" unbalanced="0"/>
    <cacheHierarchy uniqueName="[Estabelecimentos].[#FK-Email-Gerente]" caption="#FK-Email-Gerente" attribute="1" defaultMemberUniqueName="[Estabelecimentos].[#FK-Email-Gerente].[All]" allUniqueName="[Estabelecimentos].[#FK-Email-Gerente].[All]" dimensionUniqueName="[Estabelecimentos]" displayFolder="" count="0" memberValueDatatype="130" unbalanced="0"/>
    <cacheHierarchy uniqueName="[Estabelecimentos].[#FK-Email-Representante-ESP]" caption="#FK-Email-Representante-ESP" attribute="1" defaultMemberUniqueName="[Estabelecimentos].[#FK-Email-Representante-ESP].[All]" allUniqueName="[Estabelecimentos].[#FK-Email-Representante-ESP].[All]" dimensionUniqueName="[Estabelecimentos]" displayFolder="" count="0" memberValueDatatype="130" unbalanced="0"/>
    <cacheHierarchy uniqueName="[Estabelecimentos].[#FK-Email-Representante-HSP]" caption="#FK-Email-Representante-HSP" attribute="1" defaultMemberUniqueName="[Estabelecimentos].[#FK-Email-Representante-HSP].[All]" allUniqueName="[Estabelecimentos].[#FK-Email-Representante-HSP].[All]" dimensionUniqueName="[Estabelecimentos]" displayFolder="" count="0" memberValueDatatype="130" unbalanced="0"/>
    <cacheHierarchy uniqueName="[Estabelecimentos].[#FK-Email-Representante-EMH]" caption="#FK-Email-Representante-EMH" attribute="1" defaultMemberUniqueName="[Estabelecimentos].[#FK-Email-Representante-EMH].[All]" allUniqueName="[Estabelecimentos].[#FK-Email-Representante-EMH].[All]" dimensionUniqueName="[Estabelecimentos]" displayFolder="" count="0" memberValueDatatype="130" unbalanced="0"/>
    <cacheHierarchy uniqueName="[Gerentes].[#FK-Email-Gerente]" caption="#FK-Email-Gerente" attribute="1" defaultMemberUniqueName="[Gerentes].[#FK-Email-Gerente].[All]" allUniqueName="[Gerentes].[#FK-Email-Gerente].[All]" dimensionUniqueName="[Gerentes]" displayFolder="" count="0" memberValueDatatype="130" unbalanced="0"/>
    <cacheHierarchy uniqueName="[Gerentes].[Gerente]" caption="Gerente" attribute="1" defaultMemberUniqueName="[Gerentes].[Gerente].[All]" allUniqueName="[Gerentes].[Gerente].[All]" dimensionUniqueName="[Gerentes]" displayFolder="" count="0" memberValueDatatype="130" unbalanced="0"/>
    <cacheHierarchy uniqueName="[Gerentes].[@-Ativo]" caption="@-Ativo" attribute="1" defaultMemberUniqueName="[Gerentes].[@-Ativo].[All]" allUniqueName="[Gerentes].[@-Ativo].[All]" dimensionUniqueName="[Gerentes]" displayFolder="" count="0" memberValueDatatype="11" unbalanced="0"/>
    <cacheHierarchy uniqueName="[Gerentes].[@-Calculo-IV]" caption="@-Calculo-IV" attribute="1" defaultMemberUniqueName="[Gerentes].[@-Calculo-IV].[All]" allUniqueName="[Gerentes].[@-Calculo-IV].[All]" dimensionUniqueName="[Gerentes]" displayFolder="" count="0" memberValueDatatype="11" unbalanced="0"/>
    <cacheHierarchy uniqueName="[Produtos].[#PK-Cod-Produto]" caption="#PK-Cod-Produto" attribute="1" defaultMemberUniqueName="[Produtos].[#PK-Cod-Produto].[All]" allUniqueName="[Produtos].[#PK-Cod-Produto].[All]" dimensionUniqueName="[Produtos]" displayFolder="" count="0" memberValueDatatype="130" unbalanced="0"/>
    <cacheHierarchy uniqueName="[Produtos].[#FK-Cod-Linha]" caption="#FK-Cod-Linha" attribute="1" defaultMemberUniqueName="[Produtos].[#FK-Cod-Linha].[All]" allUniqueName="[Produtos].[#FK-Cod-Linha].[All]" dimensionUniqueName="[Produtos]" displayFolder="" count="0" memberValueDatatype="5" unbalanced="0"/>
    <cacheHierarchy uniqueName="[Produtos].[Produto]" caption="Produto" attribute="1" defaultMemberUniqueName="[Produtos].[Produto].[All]" allUniqueName="[Produtos].[Produto].[All]" dimensionUniqueName="[Produtos]" displayFolder="" count="0" memberValueDatatype="130" unbalanced="0"/>
    <cacheHierarchy uniqueName="[Produtos].[Linha]" caption="Linha" attribute="1" defaultMemberUniqueName="[Produtos].[Linha].[All]" allUniqueName="[Produtos].[Linha].[All]" dimensionUniqueName="[Produtos]" displayFolder="" count="0" memberValueDatatype="130" unbalanced="0"/>
    <cacheHierarchy uniqueName="[Produtos].[Grupo-IV-Representante]" caption="Grupo-IV-Representante" attribute="1" defaultMemberUniqueName="[Produtos].[Grupo-IV-Representante].[All]" allUniqueName="[Produtos].[Grupo-IV-Representante].[All]" dimensionUniqueName="[Produtos]" displayFolder="" count="0" memberValueDatatype="130" unbalanced="0"/>
    <cacheHierarchy uniqueName="[Produtos].[Grupo-IV-Gerente]" caption="Grupo-IV-Gerente" attribute="1" defaultMemberUniqueName="[Produtos].[Grupo-IV-Gerente].[All]" allUniqueName="[Produtos].[Grupo-IV-Gerente].[All]" dimensionUniqueName="[Produtos]" displayFolder="" count="0" memberValueDatatype="130" unbalanced="0"/>
    <cacheHierarchy uniqueName="[Produtos].[Fator-EQ]" caption="Fator-EQ" attribute="1" defaultMemberUniqueName="[Produtos].[Fator-EQ].[All]" allUniqueName="[Produtos].[Fator-EQ].[All]" dimensionUniqueName="[Produtos]" displayFolder="" count="0" memberValueDatatype="5" unbalanced="0"/>
    <cacheHierarchy uniqueName="[Produtos].[ASP]" caption="ASP" attribute="1" defaultMemberUniqueName="[Produtos].[ASP].[All]" allUniqueName="[Produtos].[ASP].[All]" dimensionUniqueName="[Produtos]" displayFolder="" count="0" memberValueDatatype="5" unbalanced="0"/>
    <cacheHierarchy uniqueName="[Produtos].[@-IV-Venda]" caption="@-IV-Venda" attribute="1" defaultMemberUniqueName="[Produtos].[@-IV-Venda].[All]" allUniqueName="[Produtos].[@-IV-Venda].[All]" dimensionUniqueName="[Produtos]" displayFolder="" count="0" memberValueDatatype="11" unbalanced="0"/>
    <cacheHierarchy uniqueName="[Produtos].[@-IV-Demanda]" caption="@-IV-Demanda" attribute="1" defaultMemberUniqueName="[Produtos].[@-IV-Demanda].[All]" allUniqueName="[Produtos].[@-IV-Demanda].[All]" dimensionUniqueName="[Produtos]" displayFolder="" count="0" memberValueDatatype="11" unbalanced="0"/>
    <cacheHierarchy uniqueName="[Produtos].[@-ESP]" caption="@-ESP" attribute="1" defaultMemberUniqueName="[Produtos].[@-ESP].[All]" allUniqueName="[Produtos].[@-ESP].[All]" dimensionUniqueName="[Produtos]" displayFolder="" count="0" memberValueDatatype="11" unbalanced="0"/>
    <cacheHierarchy uniqueName="[Produtos].[@-HSP]" caption="@-HSP" attribute="1" defaultMemberUniqueName="[Produtos].[@-HSP].[All]" allUniqueName="[Produtos].[@-HSP].[All]" dimensionUniqueName="[Produtos]" displayFolder="" count="0" memberValueDatatype="11" unbalanced="0"/>
    <cacheHierarchy uniqueName="[Produtos].[@-EMH]" caption="@-EMH" attribute="1" defaultMemberUniqueName="[Produtos].[@-EMH].[All]" allUniqueName="[Produtos].[@-EMH].[All]" dimensionUniqueName="[Produtos]" displayFolder="" count="0" memberValueDatatype="11" unbalanced="0"/>
    <cacheHierarchy uniqueName="[Produtos].[@-Ativo]" caption="@-Ativo" attribute="1" defaultMemberUniqueName="[Produtos].[@-Ativo].[All]" allUniqueName="[Produtos].[@-Ativo].[All]" dimensionUniqueName="[Produtos]" displayFolder="" count="0" memberValueDatatype="11" unbalanced="0"/>
    <cacheHierarchy uniqueName="[Produtos].[@-Analisar]" caption="@-Analisar" attribute="1" defaultMemberUniqueName="[Produtos].[@-Analisar].[All]" allUniqueName="[Produtos].[@-Analisar].[All]" dimensionUniqueName="[Produtos]" displayFolder="" count="0" memberValueDatatype="11" unbalanced="0"/>
    <cacheHierarchy uniqueName="[Produtos-Linhas].[#PK-Cod-Linha]" caption="#PK-Cod-Linha" attribute="1" defaultMemberUniqueName="[Produtos-Linhas].[#PK-Cod-Linha].[All]" allUniqueName="[Produtos-Linhas].[#PK-Cod-Linha].[All]" dimensionUniqueName="[Produtos-Linhas]" displayFolder="" count="0" memberValueDatatype="5" unbalanced="0"/>
    <cacheHierarchy uniqueName="[Produtos-Linhas].[Linha]" caption="Linha" attribute="1" defaultMemberUniqueName="[Produtos-Linhas].[Linha].[All]" allUniqueName="[Produtos-Linhas].[Linha].[All]" dimensionUniqueName="[Produtos-Linhas]" displayFolder="" count="2" memberValueDatatype="130" unbalanced="0">
      <fieldsUsage count="2">
        <fieldUsage x="-1"/>
        <fieldUsage x="3"/>
      </fieldsUsage>
    </cacheHierarchy>
    <cacheHierarchy uniqueName="[Produtos-Linhas].[Grupo-IV-Representante]" caption="Grupo-IV-Representante" attribute="1" defaultMemberUniqueName="[Produtos-Linhas].[Grupo-IV-Representante].[All]" allUniqueName="[Produtos-Linhas].[Grupo-IV-Representante].[All]" dimensionUniqueName="[Produtos-Linhas]" displayFolder="" count="0" memberValueDatatype="130" unbalanced="0"/>
    <cacheHierarchy uniqueName="[Produtos-Linhas].[Grupo-IV-Gerente]" caption="Grupo-IV-Gerente" attribute="1" defaultMemberUniqueName="[Produtos-Linhas].[Grupo-IV-Gerente].[All]" allUniqueName="[Produtos-Linhas].[Grupo-IV-Gerente].[All]" dimensionUniqueName="[Produtos-Linhas]" displayFolder="" count="0" memberValueDatatype="130" unbalanced="0"/>
    <cacheHierarchy uniqueName="[Produtos-Linhas].[@-IV-Venda]" caption="@-IV-Venda" attribute="1" defaultMemberUniqueName="[Produtos-Linhas].[@-IV-Venda].[All]" allUniqueName="[Produtos-Linhas].[@-IV-Venda].[All]" dimensionUniqueName="[Produtos-Linhas]" displayFolder="" count="0" memberValueDatatype="11" unbalanced="0"/>
    <cacheHierarchy uniqueName="[Produtos-Linhas].[@-IV-Demanda]" caption="@-IV-Demanda" attribute="1" defaultMemberUniqueName="[Produtos-Linhas].[@-IV-Demanda].[All]" allUniqueName="[Produtos-Linhas].[@-IV-Demanda].[All]" dimensionUniqueName="[Produtos-Linhas]" displayFolder="" count="0" memberValueDatatype="11" unbalanced="0"/>
    <cacheHierarchy uniqueName="[Produtos-Linhas].[@-ESP]" caption="@-ESP" attribute="1" defaultMemberUniqueName="[Produtos-Linhas].[@-ESP].[All]" allUniqueName="[Produtos-Linhas].[@-ESP].[All]" dimensionUniqueName="[Produtos-Linhas]" displayFolder="" count="0" memberValueDatatype="11" unbalanced="0"/>
    <cacheHierarchy uniqueName="[Produtos-Linhas].[@-HSP]" caption="@-HSP" attribute="1" defaultMemberUniqueName="[Produtos-Linhas].[@-HSP].[All]" allUniqueName="[Produtos-Linhas].[@-HSP].[All]" dimensionUniqueName="[Produtos-Linhas]" displayFolder="" count="2" memberValueDatatype="11" unbalanced="0">
      <fieldsUsage count="2">
        <fieldUsage x="-1"/>
        <fieldUsage x="2"/>
      </fieldsUsage>
    </cacheHierarchy>
    <cacheHierarchy uniqueName="[Produtos-Linhas].[@-EMH]" caption="@-EMH" attribute="1" defaultMemberUniqueName="[Produtos-Linhas].[@-EMH].[All]" allUniqueName="[Produtos-Linhas].[@-EMH].[All]" dimensionUniqueName="[Produtos-Linhas]" displayFolder="" count="0" memberValueDatatype="11" unbalanced="0"/>
    <cacheHierarchy uniqueName="[Produtos-Linhas].[@-Analisar]" caption="@-Analisar" attribute="1" defaultMemberUniqueName="[Produtos-Linhas].[@-Analisar].[All]" allUniqueName="[Produtos-Linhas].[@-Analisar].[All]" dimensionUniqueName="[Produtos-Linhas]" displayFolder="" count="0" memberValueDatatype="11" unbalanced="0"/>
    <cacheHierarchy uniqueName="[Representantes].[#PK-Email-Representante]" caption="#PK-Email-Representante" attribute="1" defaultMemberUniqueName="[Representantes].[#PK-Email-Representante].[All]" allUniqueName="[Representantes].[#PK-Email-Representante].[All]" dimensionUniqueName="[Representantes]" displayFolder="" count="0" memberValueDatatype="130" unbalanced="0"/>
    <cacheHierarchy uniqueName="[Representantes].[Representante]" caption="Representante" attribute="1" defaultMemberUniqueName="[Representantes].[Representante].[All]" allUniqueName="[Representantes].[Representante].[All]" dimensionUniqueName="[Representantes]" displayFolder="" count="0" memberValueDatatype="130" unbalanced="0"/>
    <cacheHierarchy uniqueName="[Representantes].[#FK-Email-Gerente]" caption="#FK-Email-Gerente" attribute="1" defaultMemberUniqueName="[Representantes].[#FK-Email-Gerente].[All]" allUniqueName="[Representantes].[#FK-Email-Gerente].[All]" dimensionUniqueName="[Representantes]" displayFolder="" count="0" memberValueDatatype="130" unbalanced="0"/>
    <cacheHierarchy uniqueName="[Representantes].[Gerente]" caption="Gerente" attribute="1" defaultMemberUniqueName="[Representantes].[Gerente].[All]" allUniqueName="[Representantes].[Gerente].[All]" dimensionUniqueName="[Representantes]" displayFolder="" count="0" memberValueDatatype="130" unbalanced="0"/>
    <cacheHierarchy uniqueName="[Representantes].[@-HSP]" caption="@-HSP" attribute="1" defaultMemberUniqueName="[Representantes].[@-HSP].[All]" allUniqueName="[Representantes].[@-HSP].[All]" dimensionUniqueName="[Representantes]" displayFolder="" count="0" memberValueDatatype="11" unbalanced="0"/>
    <cacheHierarchy uniqueName="[Representantes].[@-ESP]" caption="@-ESP" attribute="1" defaultMemberUniqueName="[Representantes].[@-ESP].[All]" allUniqueName="[Representantes].[@-ESP].[All]" dimensionUniqueName="[Representantes]" displayFolder="" count="0" memberValueDatatype="11" unbalanced="0"/>
    <cacheHierarchy uniqueName="[Representantes].[@-EMH]" caption="@-EMH" attribute="1" defaultMemberUniqueName="[Representantes].[@-EMH].[All]" allUniqueName="[Representantes].[@-EMH].[All]" dimensionUniqueName="[Representantes]" displayFolder="" count="0" memberValueDatatype="11" unbalanced="0"/>
    <cacheHierarchy uniqueName="[Representantes].[@-Ativo]" caption="@-Ativo" attribute="1" defaultMemberUniqueName="[Representantes].[@-Ativo].[All]" allUniqueName="[Representantes].[@-Ativo].[All]" dimensionUniqueName="[Representantes]" displayFolder="" count="0" memberValueDatatype="11" unbalanced="0"/>
    <cacheHierarchy uniqueName="[Representantes].[@-Calculo-IV]" caption="@-Calculo-IV" attribute="1" defaultMemberUniqueName="[Representantes].[@-Calculo-IV].[All]" allUniqueName="[Representantes].[@-Calculo-IV].[All]" dimensionUniqueName="[Representantes]" displayFolder="" count="0" memberValueDatatype="11" unbalanced="0"/>
    <cacheHierarchy uniqueName="[Representantes-EMH].[#PK-Email-Representante-EMH]" caption="#PK-Email-Representante-EMH" attribute="1" defaultMemberUniqueName="[Representantes-EMH].[#PK-Email-Representante-EMH].[All]" allUniqueName="[Representantes-EMH].[#PK-Email-Representante-EMH].[All]" dimensionUniqueName="[Representantes-EMH]" displayFolder="" count="0" memberValueDatatype="130" unbalanced="0"/>
    <cacheHierarchy uniqueName="[Representantes-EMH].[Representante-EMH]" caption="Representante-EMH" attribute="1" defaultMemberUniqueName="[Representantes-EMH].[Representante-EMH].[All]" allUniqueName="[Representantes-EMH].[Representante-EMH].[All]" dimensionUniqueName="[Representantes-EMH]" displayFolder="" count="0" memberValueDatatype="130" unbalanced="0"/>
    <cacheHierarchy uniqueName="[Representantes-EMH].[#FK-Email-Gerente]" caption="#FK-Email-Gerente" attribute="1" defaultMemberUniqueName="[Representantes-EMH].[#FK-Email-Gerente].[All]" allUniqueName="[Representantes-EMH].[#FK-Email-Gerente].[All]" dimensionUniqueName="[Representantes-EMH]" displayFolder="" count="0" memberValueDatatype="130" unbalanced="0"/>
    <cacheHierarchy uniqueName="[Representantes-EMH].[Gerente]" caption="Gerente" attribute="1" defaultMemberUniqueName="[Representantes-EMH].[Gerente].[All]" allUniqueName="[Representantes-EMH].[Gerente].[All]" dimensionUniqueName="[Representantes-EMH]" displayFolder="" count="0" memberValueDatatype="130" unbalanced="0"/>
    <cacheHierarchy uniqueName="[Representantes-EMH].[@-Ativo]" caption="@-Ativo" attribute="1" defaultMemberUniqueName="[Representantes-EMH].[@-Ativo].[All]" allUniqueName="[Representantes-EMH].[@-Ativo].[All]" dimensionUniqueName="[Representantes-EMH]" displayFolder="" count="0" memberValueDatatype="11" unbalanced="0"/>
    <cacheHierarchy uniqueName="[Representantes-EMH].[@-Calculo-IV]" caption="@-Calculo-IV" attribute="1" defaultMemberUniqueName="[Representantes-EMH].[@-Calculo-IV].[All]" allUniqueName="[Representantes-EMH].[@-Calculo-IV].[All]" dimensionUniqueName="[Representantes-EMH]" displayFolder="" count="0" memberValueDatatype="11" unbalanced="0"/>
    <cacheHierarchy uniqueName="[Representantes-ESP].[#PK-Email-Representante-ESP]" caption="#PK-Email-Representante-ESP" attribute="1" defaultMemberUniqueName="[Representantes-ESP].[#PK-Email-Representante-ESP].[All]" allUniqueName="[Representantes-ESP].[#PK-Email-Representante-ESP].[All]" dimensionUniqueName="[Representantes-ESP]" displayFolder="" count="0" memberValueDatatype="130" unbalanced="0"/>
    <cacheHierarchy uniqueName="[Representantes-ESP].[Representante-ESP]" caption="Representante-ESP" attribute="1" defaultMemberUniqueName="[Representantes-ESP].[Representante-ESP].[All]" allUniqueName="[Representantes-ESP].[Representante-ESP].[All]" dimensionUniqueName="[Representantes-ESP]" displayFolder="" count="0" memberValueDatatype="130" unbalanced="0"/>
    <cacheHierarchy uniqueName="[Representantes-ESP].[#FK-Email-Gerente]" caption="#FK-Email-Gerente" attribute="1" defaultMemberUniqueName="[Representantes-ESP].[#FK-Email-Gerente].[All]" allUniqueName="[Representantes-ESP].[#FK-Email-Gerente].[All]" dimensionUniqueName="[Representantes-ESP]" displayFolder="" count="0" memberValueDatatype="130" unbalanced="0"/>
    <cacheHierarchy uniqueName="[Representantes-ESP].[Gerente]" caption="Gerente" attribute="1" defaultMemberUniqueName="[Representantes-ESP].[Gerente].[All]" allUniqueName="[Representantes-ESP].[Gerente].[All]" dimensionUniqueName="[Representantes-ESP]" displayFolder="" count="0" memberValueDatatype="130" unbalanced="0"/>
    <cacheHierarchy uniqueName="[Representantes-ESP].[@-Ativo]" caption="@-Ativo" attribute="1" defaultMemberUniqueName="[Representantes-ESP].[@-Ativo].[All]" allUniqueName="[Representantes-ESP].[@-Ativo].[All]" dimensionUniqueName="[Representantes-ESP]" displayFolder="" count="0" memberValueDatatype="11" unbalanced="0"/>
    <cacheHierarchy uniqueName="[Representantes-ESP].[@-Calculo-IV]" caption="@-Calculo-IV" attribute="1" defaultMemberUniqueName="[Representantes-ESP].[@-Calculo-IV].[All]" allUniqueName="[Representantes-ESP].[@-Calculo-IV].[All]" dimensionUniqueName="[Representantes-ESP]" displayFolder="" count="0" memberValueDatatype="11" unbalanced="0"/>
    <cacheHierarchy uniqueName="[Representantes-HSP].[#PK-Email-Representante-HSP]" caption="#PK-Email-Representante-HSP" attribute="1" defaultMemberUniqueName="[Representantes-HSP].[#PK-Email-Representante-HSP].[All]" allUniqueName="[Representantes-HSP].[#PK-Email-Representante-HSP].[All]" dimensionUniqueName="[Representantes-HSP]" displayFolder="" count="2" memberValueDatatype="130" unbalanced="0">
      <fieldsUsage count="2">
        <fieldUsage x="-1"/>
        <fieldUsage x="0"/>
      </fieldsUsage>
    </cacheHierarchy>
    <cacheHierarchy uniqueName="[Representantes-HSP].[Representante-HSP]" caption="Representante-HSP" attribute="1" defaultMemberUniqueName="[Representantes-HSP].[Representante-HSP].[All]" allUniqueName="[Representantes-HSP].[Representante-HSP].[All]" dimensionUniqueName="[Representantes-HSP]" displayFolder="" count="0" memberValueDatatype="130" unbalanced="0"/>
    <cacheHierarchy uniqueName="[Representantes-HSP].[#FK-Email-Gerente]" caption="#FK-Email-Gerente" attribute="1" defaultMemberUniqueName="[Representantes-HSP].[#FK-Email-Gerente].[All]" allUniqueName="[Representantes-HSP].[#FK-Email-Gerente].[All]" dimensionUniqueName="[Representantes-HSP]" displayFolder="" count="0" memberValueDatatype="130" unbalanced="0"/>
    <cacheHierarchy uniqueName="[Representantes-HSP].[Gerente]" caption="Gerente" attribute="1" defaultMemberUniqueName="[Representantes-HSP].[Gerente].[All]" allUniqueName="[Representantes-HSP].[Gerente].[All]" dimensionUniqueName="[Representantes-HSP]" displayFolder="" count="0" memberValueDatatype="130" unbalanced="0"/>
    <cacheHierarchy uniqueName="[Representantes-HSP].[@-Ativo]" caption="@-Ativo" attribute="1" defaultMemberUniqueName="[Representantes-HSP].[@-Ativo].[All]" allUniqueName="[Representantes-HSP].[@-Ativo].[All]" dimensionUniqueName="[Representantes-HSP]" displayFolder="" count="0" memberValueDatatype="11" unbalanced="0"/>
    <cacheHierarchy uniqueName="[Representantes-HSP].[@-Calculo-IV]" caption="@-Calculo-IV" attribute="1" defaultMemberUniqueName="[Representantes-HSP].[@-Calculo-IV].[All]" allUniqueName="[Representantes-HSP].[@-Calculo-IV].[All]" dimensionUniqueName="[Representantes-HSP]" displayFolder="" count="2" memberValueDatatype="11" unbalanced="0">
      <fieldsUsage count="2">
        <fieldUsage x="-1"/>
        <fieldUsage x="9"/>
      </fieldsUsage>
    </cacheHierarchy>
    <cacheHierarchy uniqueName="[Representantes-IV].[#PK-Email-Representante]" caption="#PK-Email-Representante" attribute="1" defaultMemberUniqueName="[Representantes-IV].[#PK-Email-Representante].[All]" allUniqueName="[Representantes-IV].[#PK-Email-Representante].[All]" dimensionUniqueName="[Representantes-IV]" displayFolder="" count="0" memberValueDatatype="130" unbalanced="0"/>
    <cacheHierarchy uniqueName="[Representantes-IV].[Representante]" caption="Representante" attribute="1" defaultMemberUniqueName="[Representantes-IV].[Representante].[All]" allUniqueName="[Representantes-IV].[Representante].[All]" dimensionUniqueName="[Representantes-IV]" displayFolder="" count="0" memberValueDatatype="130" unbalanced="0"/>
    <cacheHierarchy uniqueName="[Representantes-IV].[@-Calculo-IV]" caption="@-Calculo-IV" attribute="1" defaultMemberUniqueName="[Representantes-IV].[@-Calculo-IV].[All]" allUniqueName="[Representantes-IV].[@-Calculo-IV].[All]" dimensionUniqueName="[Representantes-IV]" displayFolder="" count="0" memberValueDatatype="11" unbalanced="0"/>
    <cacheHierarchy uniqueName="[Representantes-IV].[@-HSP]" caption="@-HSP" attribute="1" defaultMemberUniqueName="[Representantes-IV].[@-HSP].[All]" allUniqueName="[Representantes-IV].[@-HSP].[All]" dimensionUniqueName="[Representantes-IV]" displayFolder="" count="0" memberValueDatatype="11" unbalanced="0"/>
    <cacheHierarchy uniqueName="[Representantes-IV].[@-ESP]" caption="@-ESP" attribute="1" defaultMemberUniqueName="[Representantes-IV].[@-ESP].[All]" allUniqueName="[Representantes-IV].[@-ESP].[All]" dimensionUniqueName="[Representantes-IV]" displayFolder="" count="0" memberValueDatatype="11" unbalanced="0"/>
    <cacheHierarchy uniqueName="[Representantes-IV].[@-EMH]" caption="@-EMH" attribute="1" defaultMemberUniqueName="[Representantes-IV].[@-EMH].[All]" allUniqueName="[Representantes-IV].[@-EMH].[All]" dimensionUniqueName="[Representantes-IV]" displayFolder="" count="0" memberValueDatatype="11" unbalanced="0"/>
    <cacheHierarchy uniqueName="[Valores-Gerentes].[#PK-Cobertura]" caption="#PK-Cobertura" attribute="1" defaultMemberUniqueName="[Valores-Gerentes].[#PK-Cobertura].[All]" allUniqueName="[Valores-Gerentes].[#PK-Cobertura].[All]" dimensionUniqueName="[Valores-Gerentes]" displayFolder="" count="0" memberValueDatatype="5" unbalanced="0"/>
    <cacheHierarchy uniqueName="[Valores-Gerentes].[Valor-Base]" caption="Valor-Base" attribute="1" defaultMemberUniqueName="[Valores-Gerentes].[Valor-Base].[All]" allUniqueName="[Valores-Gerentes].[Valor-Base].[All]" dimensionUniqueName="[Valores-Gerentes]" displayFolder="" count="0" memberValueDatatype="5" unbalanced="0"/>
    <cacheHierarchy uniqueName="[Valores-Gerentes].[05.00%-Demanda-BERINERT]" caption="05.00%-Demanda-BERINERT" attribute="1" defaultMemberUniqueName="[Valores-Gerentes].[05.00%-Demanda-BERINERT].[All]" allUniqueName="[Valores-Gerentes].[05.00%-Demanda-BERINERT].[All]" dimensionUniqueName="[Valores-Gerentes]" displayFolder="" count="0" memberValueDatatype="5" unbalanced="0"/>
    <cacheHierarchy uniqueName="[Valores-Gerentes].[02.50%-Demanda-BERIPLEX]" caption="02.50%-Demanda-BERIPLEX" attribute="1" defaultMemberUniqueName="[Valores-Gerentes].[02.50%-Demanda-BERIPLEX].[All]" allUniqueName="[Valores-Gerentes].[02.50%-Demanda-BERIPLEX].[All]" dimensionUniqueName="[Valores-Gerentes]" displayFolder="" count="0" memberValueDatatype="5" unbalanced="0"/>
    <cacheHierarchy uniqueName="[Valores-Gerentes].[02.50%-Demanda-HAEMO]" caption="02.50%-Demanda-HAEMO" attribute="1" defaultMemberUniqueName="[Valores-Gerentes].[02.50%-Demanda-HAEMO].[All]" allUniqueName="[Valores-Gerentes].[02.50%-Demanda-HAEMO].[All]" dimensionUniqueName="[Valores-Gerentes]" displayFolder="" count="0" memberValueDatatype="5" unbalanced="0"/>
    <cacheHierarchy uniqueName="[Valores-Gerentes].[10.00%-Demanda-HIZENTRA]" caption="10.00%-Demanda-HIZENTRA" attribute="1" defaultMemberUniqueName="[Valores-Gerentes].[10.00%-Demanda-HIZENTRA].[All]" allUniqueName="[Valores-Gerentes].[10.00%-Demanda-HIZENTRA].[All]" dimensionUniqueName="[Valores-Gerentes]" displayFolder="" count="0" memberValueDatatype="5" unbalanced="0"/>
    <cacheHierarchy uniqueName="[Valores-Gerentes].[05.00%-Demanda-PRIVIGEN]" caption="05.00%-Demanda-PRIVIGEN" attribute="1" defaultMemberUniqueName="[Valores-Gerentes].[05.00%-Demanda-PRIVIGEN].[All]" allUniqueName="[Valores-Gerentes].[05.00%-Demanda-PRIVIGEN].[All]" dimensionUniqueName="[Valores-Gerentes]" displayFolder="" count="0" memberValueDatatype="5" unbalanced="0"/>
    <cacheHierarchy uniqueName="[Valores-Gerentes].[05.00%-Venda]" caption="05.00%-Venda" attribute="1" defaultMemberUniqueName="[Valores-Gerentes].[05.00%-Venda].[All]" allUniqueName="[Valores-Gerentes].[05.00%-Venda].[All]" dimensionUniqueName="[Valores-Gerentes]" displayFolder="" count="0" memberValueDatatype="5" unbalanced="0"/>
    <cacheHierarchy uniqueName="[Valores-Gerentes].[10.00%-Visitas]" caption="10.00%-Visitas" attribute="1" defaultMemberUniqueName="[Valores-Gerentes].[10.00%-Visitas].[All]" allUniqueName="[Valores-Gerentes].[10.00%-Visitas].[All]" dimensionUniqueName="[Valores-Gerentes]" displayFolder="" count="0" memberValueDatatype="5" unbalanced="0"/>
    <cacheHierarchy uniqueName="[Valores-Gerentes].[10.00%-Connect-MInd]" caption="10.00%-Connect-MInd" attribute="1" defaultMemberUniqueName="[Valores-Gerentes].[10.00%-Connect-MInd].[All]" allUniqueName="[Valores-Gerentes].[10.00%-Connect-MInd].[All]" dimensionUniqueName="[Valores-Gerentes]" displayFolder="" count="0" memberValueDatatype="5" unbalanced="0"/>
    <cacheHierarchy uniqueName="[Valores-Gerentes].[30.00%-Gerente-Contas]" caption="30.00%-Gerente-Contas" attribute="1" defaultMemberUniqueName="[Valores-Gerentes].[30.00%-Gerente-Contas].[All]" allUniqueName="[Valores-Gerentes].[30.00%-Gerente-Contas].[All]" dimensionUniqueName="[Valores-Gerentes]" displayFolder="" count="0" memberValueDatatype="5" unbalanced="0"/>
    <cacheHierarchy uniqueName="[Valores-Gerentes].[10.00%-Plateau]" caption="10.00%-Plateau" attribute="1" defaultMemberUniqueName="[Valores-Gerentes].[10.00%-Plateau].[All]" allUniqueName="[Valores-Gerentes].[10.00%-Plateau].[All]" dimensionUniqueName="[Valores-Gerentes]" displayFolder="" count="0" memberValueDatatype="5" unbalanced="0"/>
    <cacheHierarchy uniqueName="[Valores-Gerentes].[10.00%-Compliance]" caption="10.00%-Compliance" attribute="1" defaultMemberUniqueName="[Valores-Gerentes].[10.00%-Compliance].[All]" allUniqueName="[Valores-Gerentes].[10.00%-Compliance].[All]" dimensionUniqueName="[Valores-Gerentes]" displayFolder="" count="0" memberValueDatatype="5" unbalanced="0"/>
    <cacheHierarchy uniqueName="[Valores-Gerentes].[Check]" caption="Check" attribute="1" defaultMemberUniqueName="[Valores-Gerentes].[Check].[All]" allUniqueName="[Valores-Gerentes].[Check].[All]" dimensionUniqueName="[Valores-Gerentes]" displayFolder="" count="0" memberValueDatatype="130" unbalanced="0"/>
    <cacheHierarchy uniqueName="[Valores-Representantes-EMH].[#PK-Cobertura]" caption="#PK-Cobertura" attribute="1" defaultMemberUniqueName="[Valores-Representantes-EMH].[#PK-Cobertura].[All]" allUniqueName="[Valores-Representantes-EMH].[#PK-Cobertura].[All]" dimensionUniqueName="[Valores-Representantes-EMH]" displayFolder="" count="0" memberValueDatatype="5" unbalanced="0"/>
    <cacheHierarchy uniqueName="[Valores-Representantes-EMH].[Valor-Base]" caption="Valor-Base" attribute="1" defaultMemberUniqueName="[Valores-Representantes-EMH].[Valor-Base].[All]" allUniqueName="[Valores-Representantes-EMH].[Valor-Base].[All]" dimensionUniqueName="[Valores-Representantes-EMH]" displayFolder="" count="0" memberValueDatatype="5" unbalanced="0"/>
    <cacheHierarchy uniqueName="[Valores-Representantes-EMH].[05.00%-Demanda-BERINERT]" caption="05.00%-Demanda-BERINERT" attribute="1" defaultMemberUniqueName="[Valores-Representantes-EMH].[05.00%-Demanda-BERINERT].[All]" allUniqueName="[Valores-Representantes-EMH].[05.00%-Demanda-BERINERT].[All]" dimensionUniqueName="[Valores-Representantes-EMH]" displayFolder="" count="0" memberValueDatatype="5" unbalanced="0"/>
    <cacheHierarchy uniqueName="[Valores-Representantes-EMH].[02.50%-Demanda-BERIPLEX]" caption="02.50%-Demanda-BERIPLEX" attribute="1" defaultMemberUniqueName="[Valores-Representantes-EMH].[02.50%-Demanda-BERIPLEX].[All]" allUniqueName="[Valores-Representantes-EMH].[02.50%-Demanda-BERIPLEX].[All]" dimensionUniqueName="[Valores-Representantes-EMH]" displayFolder="" count="0" memberValueDatatype="5" unbalanced="0"/>
    <cacheHierarchy uniqueName="[Valores-Representantes-EMH].[02.50%-Demanda-HAEMO]" caption="02.50%-Demanda-HAEMO" attribute="1" defaultMemberUniqueName="[Valores-Representantes-EMH].[02.50%-Demanda-HAEMO].[All]" allUniqueName="[Valores-Representantes-EMH].[02.50%-Demanda-HAEMO].[All]" dimensionUniqueName="[Valores-Representantes-EMH]" displayFolder="" count="0" memberValueDatatype="5" unbalanced="0"/>
    <cacheHierarchy uniqueName="[Valores-Representantes-EMH].[10.00%-Demanda-HIZENTRA]" caption="10.00%-Demanda-HIZENTRA" attribute="1" defaultMemberUniqueName="[Valores-Representantes-EMH].[10.00%-Demanda-HIZENTRA].[All]" allUniqueName="[Valores-Representantes-EMH].[10.00%-Demanda-HIZENTRA].[All]" dimensionUniqueName="[Valores-Representantes-EMH]" displayFolder="" count="0" memberValueDatatype="5" unbalanced="0"/>
    <cacheHierarchy uniqueName="[Valores-Representantes-EMH].[05.00%-Demanda-PRIVIGEN]" caption="05.00%-Demanda-PRIVIGEN" attribute="1" defaultMemberUniqueName="[Valores-Representantes-EMH].[05.00%-Demanda-PRIVIGEN].[All]" allUniqueName="[Valores-Representantes-EMH].[05.00%-Demanda-PRIVIGEN].[All]" dimensionUniqueName="[Valores-Representantes-EMH]" displayFolder="" count="0" memberValueDatatype="5" unbalanced="0"/>
    <cacheHierarchy uniqueName="[Valores-Representantes-EMH].[05.00%-Venda]" caption="05.00%-Venda" attribute="1" defaultMemberUniqueName="[Valores-Representantes-EMH].[05.00%-Venda].[All]" allUniqueName="[Valores-Representantes-EMH].[05.00%-Venda].[All]" dimensionUniqueName="[Valores-Representantes-EMH]" displayFolder="" count="0" memberValueDatatype="5" unbalanced="0"/>
    <cacheHierarchy uniqueName="[Valores-Representantes-EMH].[10.00%-Visitas]" caption="10.00%-Visitas" attribute="1" defaultMemberUniqueName="[Valores-Representantes-EMH].[10.00%-Visitas].[All]" allUniqueName="[Valores-Representantes-EMH].[10.00%-Visitas].[All]" dimensionUniqueName="[Valores-Representantes-EMH]" displayFolder="" count="0" memberValueDatatype="5" unbalanced="0"/>
    <cacheHierarchy uniqueName="[Valores-Representantes-EMH].[10.00%-Connect-MInd]" caption="10.00%-Connect-MInd" attribute="1" defaultMemberUniqueName="[Valores-Representantes-EMH].[10.00%-Connect-MInd].[All]" allUniqueName="[Valores-Representantes-EMH].[10.00%-Connect-MInd].[All]" dimensionUniqueName="[Valores-Representantes-EMH]" displayFolder="" count="0" memberValueDatatype="5" unbalanced="0"/>
    <cacheHierarchy uniqueName="[Valores-Representantes-EMH].[30.00%-Gerente-Contas]" caption="30.00%-Gerente-Contas" attribute="1" defaultMemberUniqueName="[Valores-Representantes-EMH].[30.00%-Gerente-Contas].[All]" allUniqueName="[Valores-Representantes-EMH].[30.00%-Gerente-Contas].[All]" dimensionUniqueName="[Valores-Representantes-EMH]" displayFolder="" count="0" memberValueDatatype="5" unbalanced="0"/>
    <cacheHierarchy uniqueName="[Valores-Representantes-EMH].[10.00%-Plateau]" caption="10.00%-Plateau" attribute="1" defaultMemberUniqueName="[Valores-Representantes-EMH].[10.00%-Plateau].[All]" allUniqueName="[Valores-Representantes-EMH].[10.00%-Plateau].[All]" dimensionUniqueName="[Valores-Representantes-EMH]" displayFolder="" count="0" memberValueDatatype="5" unbalanced="0"/>
    <cacheHierarchy uniqueName="[Valores-Representantes-EMH].[10.00%-Compliance]" caption="10.00%-Compliance" attribute="1" defaultMemberUniqueName="[Valores-Representantes-EMH].[10.00%-Compliance].[All]" allUniqueName="[Valores-Representantes-EMH].[10.00%-Compliance].[All]" dimensionUniqueName="[Valores-Representantes-EMH]" displayFolder="" count="0" memberValueDatatype="5" unbalanced="0"/>
    <cacheHierarchy uniqueName="[Valores-Representantes-EMH].[Check]" caption="Check" attribute="1" defaultMemberUniqueName="[Valores-Representantes-EMH].[Check].[All]" allUniqueName="[Valores-Representantes-EMH].[Check].[All]" dimensionUniqueName="[Valores-Representantes-EMH]" displayFolder="" count="0" memberValueDatatype="130" unbalanced="0"/>
    <cacheHierarchy uniqueName="[Valores-Representantes-ESP].[#PK-Cobertura]" caption="#PK-Cobertura" attribute="1" defaultMemberUniqueName="[Valores-Representantes-ESP].[#PK-Cobertura].[All]" allUniqueName="[Valores-Representantes-ESP].[#PK-Cobertura].[All]" dimensionUniqueName="[Valores-Representantes-ESP]" displayFolder="" count="0" memberValueDatatype="5" unbalanced="0"/>
    <cacheHierarchy uniqueName="[Valores-Representantes-ESP].[Valor-Base]" caption="Valor-Base" attribute="1" defaultMemberUniqueName="[Valores-Representantes-ESP].[Valor-Base].[All]" allUniqueName="[Valores-Representantes-ESP].[Valor-Base].[All]" dimensionUniqueName="[Valores-Representantes-ESP]" displayFolder="" count="0" memberValueDatatype="5" unbalanced="0"/>
    <cacheHierarchy uniqueName="[Valores-Representantes-ESP].[05.00%-Demanda-BERINERT]" caption="05.00%-Demanda-BERINERT" attribute="1" defaultMemberUniqueName="[Valores-Representantes-ESP].[05.00%-Demanda-BERINERT].[All]" allUniqueName="[Valores-Representantes-ESP].[05.00%-Demanda-BERINERT].[All]" dimensionUniqueName="[Valores-Representantes-ESP]" displayFolder="" count="0" memberValueDatatype="5" unbalanced="0"/>
    <cacheHierarchy uniqueName="[Valores-Representantes-ESP].[00.00%-Demanda-BERIPLEX]" caption="00.00%-Demanda-BERIPLEX" attribute="1" defaultMemberUniqueName="[Valores-Representantes-ESP].[00.00%-Demanda-BERIPLEX].[All]" allUniqueName="[Valores-Representantes-ESP].[00.00%-Demanda-BERIPLEX].[All]" dimensionUniqueName="[Valores-Representantes-ESP]" displayFolder="" count="0" memberValueDatatype="5" unbalanced="0"/>
    <cacheHierarchy uniqueName="[Valores-Representantes-ESP].[00.00%-Demanda-HAEMO]" caption="00.00%-Demanda-HAEMO" attribute="1" defaultMemberUniqueName="[Valores-Representantes-ESP].[00.00%-Demanda-HAEMO].[All]" allUniqueName="[Valores-Representantes-ESP].[00.00%-Demanda-HAEMO].[All]" dimensionUniqueName="[Valores-Representantes-ESP]" displayFolder="" count="0" memberValueDatatype="5" unbalanced="0"/>
    <cacheHierarchy uniqueName="[Valores-Representantes-ESP].[15.00%-Demanda-HIZENTRA]" caption="15.00%-Demanda-HIZENTRA" attribute="1" defaultMemberUniqueName="[Valores-Representantes-ESP].[15.00%-Demanda-HIZENTRA].[All]" allUniqueName="[Valores-Representantes-ESP].[15.00%-Demanda-HIZENTRA].[All]" dimensionUniqueName="[Valores-Representantes-ESP]" displayFolder="" count="0" memberValueDatatype="5" unbalanced="0"/>
    <cacheHierarchy uniqueName="[Valores-Representantes-ESP].[05.00%-Demanda-PRIVIGEN]" caption="05.00%-Demanda-PRIVIGEN" attribute="1" defaultMemberUniqueName="[Valores-Representantes-ESP].[05.00%-Demanda-PRIVIGEN].[All]" allUniqueName="[Valores-Representantes-ESP].[05.00%-Demanda-PRIVIGEN].[All]" dimensionUniqueName="[Valores-Representantes-ESP]" displayFolder="" count="0" memberValueDatatype="5" unbalanced="0"/>
    <cacheHierarchy uniqueName="[Valores-Representantes-ESP].[05.00%-Venda]" caption="05.00%-Venda" attribute="1" defaultMemberUniqueName="[Valores-Representantes-ESP].[05.00%-Venda].[All]" allUniqueName="[Valores-Representantes-ESP].[05.00%-Venda].[All]" dimensionUniqueName="[Valores-Representantes-ESP]" displayFolder="" count="0" memberValueDatatype="5" unbalanced="0"/>
    <cacheHierarchy uniqueName="[Valores-Representantes-ESP].[10.00%-Visitas]" caption="10.00%-Visitas" attribute="1" defaultMemberUniqueName="[Valores-Representantes-ESP].[10.00%-Visitas].[All]" allUniqueName="[Valores-Representantes-ESP].[10.00%-Visitas].[All]" dimensionUniqueName="[Valores-Representantes-ESP]" displayFolder="" count="0" memberValueDatatype="5" unbalanced="0"/>
    <cacheHierarchy uniqueName="[Valores-Representantes-ESP].[10.00%-Connect-MInd]" caption="10.00%-Connect-MInd" attribute="1" defaultMemberUniqueName="[Valores-Representantes-ESP].[10.00%-Connect-MInd].[All]" allUniqueName="[Valores-Representantes-ESP].[10.00%-Connect-MInd].[All]" dimensionUniqueName="[Valores-Representantes-ESP]" displayFolder="" count="0" memberValueDatatype="5" unbalanced="0"/>
    <cacheHierarchy uniqueName="[Valores-Representantes-ESP].[30.00%-Gerente-Contas]" caption="30.00%-Gerente-Contas" attribute="1" defaultMemberUniqueName="[Valores-Representantes-ESP].[30.00%-Gerente-Contas].[All]" allUniqueName="[Valores-Representantes-ESP].[30.00%-Gerente-Contas].[All]" dimensionUniqueName="[Valores-Representantes-ESP]" displayFolder="" count="0" memberValueDatatype="5" unbalanced="0"/>
    <cacheHierarchy uniqueName="[Valores-Representantes-ESP].[10.00%-Plateau]" caption="10.00%-Plateau" attribute="1" defaultMemberUniqueName="[Valores-Representantes-ESP].[10.00%-Plateau].[All]" allUniqueName="[Valores-Representantes-ESP].[10.00%-Plateau].[All]" dimensionUniqueName="[Valores-Representantes-ESP]" displayFolder="" count="0" memberValueDatatype="5" unbalanced="0"/>
    <cacheHierarchy uniqueName="[Valores-Representantes-ESP].[10.00%-Compliance]" caption="10.00%-Compliance" attribute="1" defaultMemberUniqueName="[Valores-Representantes-ESP].[10.00%-Compliance].[All]" allUniqueName="[Valores-Representantes-ESP].[10.00%-Compliance].[All]" dimensionUniqueName="[Valores-Representantes-ESP]" displayFolder="" count="0" memberValueDatatype="5" unbalanced="0"/>
    <cacheHierarchy uniqueName="[Valores-Representantes-ESP].[Check]" caption="Check" attribute="1" defaultMemberUniqueName="[Valores-Representantes-ESP].[Check].[All]" allUniqueName="[Valores-Representantes-ESP].[Check].[All]" dimensionUniqueName="[Valores-Representantes-ESP]" displayFolder="" count="0" memberValueDatatype="130" unbalanced="0"/>
    <cacheHierarchy uniqueName="[Valores-Representantes-HSP].[#PK-Cobertura]" caption="#PK-Cobertura" attribute="1" defaultMemberUniqueName="[Valores-Representantes-HSP].[#PK-Cobertura].[All]" allUniqueName="[Valores-Representantes-HSP].[#PK-Cobertura].[All]" dimensionUniqueName="[Valores-Representantes-HSP]" displayFolder="" count="0" memberValueDatatype="5" unbalanced="0"/>
    <cacheHierarchy uniqueName="[Valores-Representantes-HSP].[Valor-Base]" caption="Valor-Base" attribute="1" defaultMemberUniqueName="[Valores-Representantes-HSP].[Valor-Base].[All]" allUniqueName="[Valores-Representantes-HSP].[Valor-Base].[All]" dimensionUniqueName="[Valores-Representantes-HSP]" displayFolder="" count="0" memberValueDatatype="5" unbalanced="0"/>
    <cacheHierarchy uniqueName="[Valores-Representantes-HSP].[00.00%-Demanda-BERINERT]" caption="00.00%-Demanda-BERINERT" attribute="1" defaultMemberUniqueName="[Valores-Representantes-HSP].[00.00%-Demanda-BERINERT].[All]" allUniqueName="[Valores-Representantes-HSP].[00.00%-Demanda-BERINERT].[All]" dimensionUniqueName="[Valores-Representantes-HSP]" displayFolder="" count="0" memberValueDatatype="5" unbalanced="0"/>
    <cacheHierarchy uniqueName="[Valores-Representantes-HSP].[07.50%-Demanda-BERIPLEX]" caption="07.50%-Demanda-BERIPLEX" attribute="1" defaultMemberUniqueName="[Valores-Representantes-HSP].[07.50%-Demanda-BERIPLEX].[All]" allUniqueName="[Valores-Representantes-HSP].[07.50%-Demanda-BERIPLEX].[All]" dimensionUniqueName="[Valores-Representantes-HSP]" displayFolder="" count="0" memberValueDatatype="5" unbalanced="0"/>
    <cacheHierarchy uniqueName="[Valores-Representantes-HSP].[07.50%-Demanda-HAEMO]" caption="07.50%-Demanda-HAEMO" attribute="1" defaultMemberUniqueName="[Valores-Representantes-HSP].[07.50%-Demanda-HAEMO].[All]" allUniqueName="[Valores-Representantes-HSP].[07.50%-Demanda-HAEMO].[All]" dimensionUniqueName="[Valores-Representantes-HSP]" displayFolder="" count="0" memberValueDatatype="5" unbalanced="0"/>
    <cacheHierarchy uniqueName="[Valores-Representantes-HSP].[00.00%-Demanda-HIZENTRA]" caption="00.00%-Demanda-HIZENTRA" attribute="1" defaultMemberUniqueName="[Valores-Representantes-HSP].[00.00%-Demanda-HIZENTRA].[All]" allUniqueName="[Valores-Representantes-HSP].[00.00%-Demanda-HIZENTRA].[All]" dimensionUniqueName="[Valores-Representantes-HSP]" displayFolder="" count="0" memberValueDatatype="5" unbalanced="0"/>
    <cacheHierarchy uniqueName="[Valores-Representantes-HSP].[10.00%-Demanda-PRIVIGEN]" caption="10.00%-Demanda-PRIVIGEN" attribute="1" defaultMemberUniqueName="[Valores-Representantes-HSP].[10.00%-Demanda-PRIVIGEN].[All]" allUniqueName="[Valores-Representantes-HSP].[10.00%-Demanda-PRIVIGEN].[All]" dimensionUniqueName="[Valores-Representantes-HSP]" displayFolder="" count="0" memberValueDatatype="5" unbalanced="0"/>
    <cacheHierarchy uniqueName="[Valores-Representantes-HSP].[05.00%-Venda]" caption="05.00%-Venda" attribute="1" defaultMemberUniqueName="[Valores-Representantes-HSP].[05.00%-Venda].[All]" allUniqueName="[Valores-Representantes-HSP].[05.00%-Venda].[All]" dimensionUniqueName="[Valores-Representantes-HSP]" displayFolder="" count="0" memberValueDatatype="5" unbalanced="0"/>
    <cacheHierarchy uniqueName="[Valores-Representantes-HSP].[10.00%-Visitas]" caption="10.00%-Visitas" attribute="1" defaultMemberUniqueName="[Valores-Representantes-HSP].[10.00%-Visitas].[All]" allUniqueName="[Valores-Representantes-HSP].[10.00%-Visitas].[All]" dimensionUniqueName="[Valores-Representantes-HSP]" displayFolder="" count="0" memberValueDatatype="5" unbalanced="0"/>
    <cacheHierarchy uniqueName="[Valores-Representantes-HSP].[10.00%-Connect-MInd]" caption="10.00%-Connect-MInd" attribute="1" defaultMemberUniqueName="[Valores-Representantes-HSP].[10.00%-Connect-MInd].[All]" allUniqueName="[Valores-Representantes-HSP].[10.00%-Connect-MInd].[All]" dimensionUniqueName="[Valores-Representantes-HSP]" displayFolder="" count="0" memberValueDatatype="5" unbalanced="0"/>
    <cacheHierarchy uniqueName="[Valores-Representantes-HSP].[30.00%-Gerente-Contas]" caption="30.00%-Gerente-Contas" attribute="1" defaultMemberUniqueName="[Valores-Representantes-HSP].[30.00%-Gerente-Contas].[All]" allUniqueName="[Valores-Representantes-HSP].[30.00%-Gerente-Contas].[All]" dimensionUniqueName="[Valores-Representantes-HSP]" displayFolder="" count="0" memberValueDatatype="5" unbalanced="0"/>
    <cacheHierarchy uniqueName="[Valores-Representantes-HSP].[10.00%-Plateau]" caption="10.00%-Plateau" attribute="1" defaultMemberUniqueName="[Valores-Representantes-HSP].[10.00%-Plateau].[All]" allUniqueName="[Valores-Representantes-HSP].[10.00%-Plateau].[All]" dimensionUniqueName="[Valores-Representantes-HSP]" displayFolder="" count="0" memberValueDatatype="5" unbalanced="0"/>
    <cacheHierarchy uniqueName="[Valores-Representantes-HSP].[10.00%-Compliance]" caption="10.00%-Compliance" attribute="1" defaultMemberUniqueName="[Valores-Representantes-HSP].[10.00%-Compliance].[All]" allUniqueName="[Valores-Representantes-HSP].[10.00%-Compliance].[All]" dimensionUniqueName="[Valores-Representantes-HSP]" displayFolder="" count="0" memberValueDatatype="5" unbalanced="0"/>
    <cacheHierarchy uniqueName="[Valores-Representantes-HSP].[Check]" caption="Check" attribute="1" defaultMemberUniqueName="[Valores-Representantes-HSP].[Check].[All]" allUniqueName="[Valores-Representantes-HSP].[Check].[All]" dimensionUniqueName="[Valores-Representantes-HSP]" displayFolder="" count="0" memberValueDatatype="130" unbalanced="0"/>
    <cacheHierarchy uniqueName="[Venda].[#FK-AnoMes-Unv]" caption="#FK-AnoMes-Unv" attribute="1" defaultMemberUniqueName="[Venda].[#FK-AnoMes-Unv].[All]" allUniqueName="[Venda].[#FK-AnoMes-Unv].[All]" dimensionUniqueName="[Venda]" displayFolder="" count="0" memberValueDatatype="5" unbalanced="0"/>
    <cacheHierarchy uniqueName="[Venda].[#FK-Cod-Linha]" caption="#FK-Cod-Linha" attribute="1" defaultMemberUniqueName="[Venda].[#FK-Cod-Linha].[All]" allUniqueName="[Venda].[#FK-Cod-Linha].[All]" dimensionUniqueName="[Venda]" displayFolder="" count="0" memberValueDatatype="5" unbalanced="0"/>
    <cacheHierarchy uniqueName="[Venda].[#FK-Cod-Produto]" caption="#FK-Cod-Produto" attribute="1" defaultMemberUniqueName="[Venda].[#FK-Cod-Produto].[All]" allUniqueName="[Venda].[#FK-Cod-Produto].[All]" dimensionUniqueName="[Venda]" displayFolder="" count="0" memberValueDatatype="130" unbalanced="0"/>
    <cacheHierarchy uniqueName="[Venda].[#FK-CNPJ-Estabelecimento]" caption="#FK-CNPJ-Estabelecimento" attribute="1" defaultMemberUniqueName="[Venda].[#FK-CNPJ-Estabelecimento].[All]" allUniqueName="[Venda].[#FK-CNPJ-Estabelecimento].[All]" dimensionUniqueName="[Venda]" displayFolder="" count="0" memberValueDatatype="5" unbalanced="0"/>
    <cacheHierarchy uniqueName="[Venda].[@-Ministerio]" caption="@-Ministerio" attribute="1" defaultMemberUniqueName="[Venda].[@-Ministerio].[All]" allUniqueName="[Venda].[@-Ministerio].[All]" dimensionUniqueName="[Venda]" displayFolder="" count="0" memberValueDatatype="11" unbalanced="0"/>
    <cacheHierarchy uniqueName="[Venda].[@-Distribuidor]" caption="@-Distribuidor" attribute="1" defaultMemberUniqueName="[Venda].[@-Distribuidor].[All]" allUniqueName="[Venda].[@-Distribuidor].[All]" dimensionUniqueName="[Venda]" displayFolder="" count="0" memberValueDatatype="11" unbalanced="0"/>
    <cacheHierarchy uniqueName="[Venda].[@-IV-Venda]" caption="@-IV-Venda" attribute="1" defaultMemberUniqueName="[Venda].[@-IV-Venda].[All]" allUniqueName="[Venda].[@-IV-Venda].[All]" dimensionUniqueName="[Venda]" displayFolder="" count="0" memberValueDatatype="11" unbalanced="0"/>
    <cacheHierarchy uniqueName="[Venda].[#FK-Email-Gerente]" caption="#FK-Email-Gerente" attribute="1" defaultMemberUniqueName="[Venda].[#FK-Email-Gerente].[All]" allUniqueName="[Venda].[#FK-Email-Gerente].[All]" dimensionUniqueName="[Venda]" displayFolder="" count="0" memberValueDatatype="130" unbalanced="0"/>
    <cacheHierarchy uniqueName="[Venda].[#FK-Email-Representante]" caption="#FK-Email-Representante" attribute="1" defaultMemberUniqueName="[Venda].[#FK-Email-Representante].[All]" allUniqueName="[Venda].[#FK-Email-Representante].[All]" dimensionUniqueName="[Venda]" displayFolder="" count="0" memberValueDatatype="130" unbalanced="0"/>
    <cacheHierarchy uniqueName="[Venda].[Venda-UN]" caption="Venda-UN" attribute="1" defaultMemberUniqueName="[Venda].[Venda-UN].[All]" allUniqueName="[Venda].[Venda-UN].[All]" dimensionUniqueName="[Venda]" displayFolder="" count="0" memberValueDatatype="5" unbalanced="0"/>
    <cacheHierarchy uniqueName="[Venda].[Venda-EQ]" caption="Venda-EQ" attribute="1" defaultMemberUniqueName="[Venda].[Venda-EQ].[All]" allUniqueName="[Venda].[Venda-EQ].[All]" dimensionUniqueName="[Venda]" displayFolder="" count="0" memberValueDatatype="5" unbalanced="0"/>
    <cacheHierarchy uniqueName="[Venda].[Venda-BRL]" caption="Venda-BRL" attribute="1" defaultMemberUniqueName="[Venda].[Venda-BRL].[All]" allUniqueName="[Venda].[Venda-BRL].[All]" dimensionUniqueName="[Venda]" displayFolder="" count="0" memberValueDatatype="5" unbalanced="0"/>
    <cacheHierarchy uniqueName="[Venda].[Venda-IV]" caption="Venda-IV" attribute="1" defaultMemberUniqueName="[Venda].[Venda-IV].[All]" allUniqueName="[Venda].[Venda-IV].[All]" dimensionUniqueName="[Venda]" displayFolder="" count="0" memberValueDatatype="5" unbalanced="0"/>
    <cacheHierarchy uniqueName="[Visitas-Outros].[#FK-AnoMes-Unv]" caption="#FK-AnoMes-Unv" attribute="1" defaultMemberUniqueName="[Visitas-Outros].[#FK-AnoMes-Unv].[All]" allUniqueName="[Visitas-Outros].[#FK-AnoMes-Unv].[All]" dimensionUniqueName="[Visitas-Outros]" displayFolder="" count="0" memberValueDatatype="5" unbalanced="0"/>
    <cacheHierarchy uniqueName="[Visitas-Outros].[#FK-Email-Gerente]" caption="#FK-Email-Gerente" attribute="1" defaultMemberUniqueName="[Visitas-Outros].[#FK-Email-Gerente].[All]" allUniqueName="[Visitas-Outros].[#FK-Email-Gerente].[All]" dimensionUniqueName="[Visitas-Outros]" displayFolder="" count="0" memberValueDatatype="130" unbalanced="0"/>
    <cacheHierarchy uniqueName="[Visitas-Outros].[#FK-Email-Representante]" caption="#FK-Email-Representante" attribute="1" defaultMemberUniqueName="[Visitas-Outros].[#FK-Email-Representante].[All]" allUniqueName="[Visitas-Outros].[#FK-Email-Representante].[All]" dimensionUniqueName="[Visitas-Outros]" displayFolder="" count="0" memberValueDatatype="130" unbalanced="0"/>
    <cacheHierarchy uniqueName="[Visitas-Outros].[#FK-Email-Representante_ESP]" caption="#FK-Email-Representante_ESP" attribute="1" defaultMemberUniqueName="[Visitas-Outros].[#FK-Email-Representante_ESP].[All]" allUniqueName="[Visitas-Outros].[#FK-Email-Representante_ESP].[All]" dimensionUniqueName="[Visitas-Outros]" displayFolder="" count="0" memberValueDatatype="130" unbalanced="0"/>
    <cacheHierarchy uniqueName="[Visitas-Outros].[#FK-Email-Representante_HSP]" caption="#FK-Email-Representante_HSP" attribute="1" defaultMemberUniqueName="[Visitas-Outros].[#FK-Email-Representante_HSP].[All]" allUniqueName="[Visitas-Outros].[#FK-Email-Representante_HSP].[All]" dimensionUniqueName="[Visitas-Outros]" displayFolder="" count="0" memberValueDatatype="130" unbalanced="0"/>
    <cacheHierarchy uniqueName="[Visitas-Outros].[#FK-Email-Representante_EMH]" caption="#FK-Email-Representante_EMH" attribute="1" defaultMemberUniqueName="[Visitas-Outros].[#FK-Email-Representante_EMH].[All]" allUniqueName="[Visitas-Outros].[#FK-Email-Representante_EMH].[All]" dimensionUniqueName="[Visitas-Outros]" displayFolder="" count="0" memberValueDatatype="130" unbalanced="0"/>
    <cacheHierarchy uniqueName="[Visitas-Outros].[@-ESP]" caption="@-ESP" attribute="1" defaultMemberUniqueName="[Visitas-Outros].[@-ESP].[All]" allUniqueName="[Visitas-Outros].[@-ESP].[All]" dimensionUniqueName="[Visitas-Outros]" displayFolder="" count="0" memberValueDatatype="11" unbalanced="0"/>
    <cacheHierarchy uniqueName="[Visitas-Outros].[@-HSP]" caption="@-HSP" attribute="1" defaultMemberUniqueName="[Visitas-Outros].[@-HSP].[All]" allUniqueName="[Visitas-Outros].[@-HSP].[All]" dimensionUniqueName="[Visitas-Outros]" displayFolder="" count="0" memberValueDatatype="11" unbalanced="0"/>
    <cacheHierarchy uniqueName="[Visitas-Outros].[@-EMH]" caption="@-EMH" attribute="1" defaultMemberUniqueName="[Visitas-Outros].[@-EMH].[All]" allUniqueName="[Visitas-Outros].[@-EMH].[All]" dimensionUniqueName="[Visitas-Outros]" displayFolder="" count="0" memberValueDatatype="11" unbalanced="0"/>
    <cacheHierarchy uniqueName="[Visitas-Outros].[Visitas-Meta]" caption="Visitas-Meta" attribute="1" defaultMemberUniqueName="[Visitas-Outros].[Visitas-Meta].[All]" allUniqueName="[Visitas-Outros].[Visitas-Meta].[All]" dimensionUniqueName="[Visitas-Outros]" displayFolder="" count="0" memberValueDatatype="5" unbalanced="0"/>
    <cacheHierarchy uniqueName="[Visitas-Outros].[Visitas-Realizadas]" caption="Visitas-Realizadas" attribute="1" defaultMemberUniqueName="[Visitas-Outros].[Visitas-Realizadas].[All]" allUniqueName="[Visitas-Outros].[Visitas-Realizadas].[All]" dimensionUniqueName="[Visitas-Outros]" displayFolder="" count="0" memberValueDatatype="5" unbalanced="0"/>
    <cacheHierarchy uniqueName="[Visitas-Outros].[@Garantido-Visitas]" caption="@Garantido-Visitas" attribute="1" defaultMemberUniqueName="[Visitas-Outros].[@Garantido-Visitas].[All]" allUniqueName="[Visitas-Outros].[@Garantido-Visitas].[All]" dimensionUniqueName="[Visitas-Outros]" displayFolder="" count="0" memberValueDatatype="11" unbalanced="0"/>
    <cacheHierarchy uniqueName="[Visitas-Outros].[%Realizado-Visitas]" caption="%Realizado-Visitas" attribute="1" defaultMemberUniqueName="[Visitas-Outros].[%Realizado-Visitas].[All]" allUniqueName="[Visitas-Outros].[%Realizado-Visitas].[All]" dimensionUniqueName="[Visitas-Outros]" displayFolder="" count="0" memberValueDatatype="5" unbalanced="0"/>
    <cacheHierarchy uniqueName="[Visitas-Outros].[%Realizado-Connect-Mind]" caption="%Realizado-Connect-Mind" attribute="1" defaultMemberUniqueName="[Visitas-Outros].[%Realizado-Connect-Mind].[All]" allUniqueName="[Visitas-Outros].[%Realizado-Connect-Mind].[All]" dimensionUniqueName="[Visitas-Outros]" displayFolder="" count="0" memberValueDatatype="20" unbalanced="0"/>
    <cacheHierarchy uniqueName="[Visitas-Outros].[%Realizado-Aval-GR]" caption="%Realizado-Aval-GR" attribute="1" defaultMemberUniqueName="[Visitas-Outros].[%Realizado-Aval-GR].[All]" allUniqueName="[Visitas-Outros].[%Realizado-Aval-GR].[All]" dimensionUniqueName="[Visitas-Outros]" displayFolder="" count="0" memberValueDatatype="20" unbalanced="0"/>
    <cacheHierarchy uniqueName="[Visitas-Outros].[%Realizado-Plateau]" caption="%Realizado-Plateau" attribute="1" defaultMemberUniqueName="[Visitas-Outros].[%Realizado-Plateau].[All]" allUniqueName="[Visitas-Outros].[%Realizado-Plateau].[All]" dimensionUniqueName="[Visitas-Outros]" displayFolder="" count="0" memberValueDatatype="20" unbalanced="0"/>
    <cacheHierarchy uniqueName="[Visitas-Outros].[%Realizado-Compliance]" caption="%Realizado-Compliance" attribute="1" defaultMemberUniqueName="[Visitas-Outros].[%Realizado-Compliance].[All]" allUniqueName="[Visitas-Outros].[%Realizado-Compliance].[All]" dimensionUniqueName="[Visitas-Outros]" displayFolder="" count="0" memberValueDatatype="20" unbalanced="0"/>
    <cacheHierarchy uniqueName="[Measures].[__XL_Count Datas]" caption="__XL_Count Datas" measure="1" displayFolder="" measureGroup="Datas" count="0" hidden="1"/>
    <cacheHierarchy uniqueName="[Measures].[__XL_Count Demanda]" caption="__XL_Count Demanda" measure="1" displayFolder="" measureGroup="Demanda" count="0" hidden="1"/>
    <cacheHierarchy uniqueName="[Measures].[__XL_Count Distribuidores]" caption="__XL_Count Distribuidores" measure="1" displayFolder="" measureGroup="Distribuidores" count="0" hidden="1"/>
    <cacheHierarchy uniqueName="[Measures].[__XL_Count Estabelecimentos]" caption="__XL_Count Estabelecimentos" measure="1" displayFolder="" measureGroup="Estabelecimentos" count="0" hidden="1"/>
    <cacheHierarchy uniqueName="[Measures].[__XL_Count Gerentes]" caption="__XL_Count Gerentes" measure="1" displayFolder="" measureGroup="Gerentes" count="0" hidden="1"/>
    <cacheHierarchy uniqueName="[Measures].[__XL_Count Produtos]" caption="__XL_Count Produtos" measure="1" displayFolder="" measureGroup="Produtos" count="0" hidden="1"/>
    <cacheHierarchy uniqueName="[Measures].[__XL_Count Produtos-Linhas]" caption="__XL_Count Produtos-Linhas" measure="1" displayFolder="" measureGroup="Produtos-Linhas" count="0" hidden="1"/>
    <cacheHierarchy uniqueName="[Measures].[__XL_Count Representantes]" caption="__XL_Count Representantes" measure="1" displayFolder="" measureGroup="Representantes" count="0" hidden="1"/>
    <cacheHierarchy uniqueName="[Measures].[__XL_Count Representantes-EMH]" caption="__XL_Count Representantes-EMH" measure="1" displayFolder="" measureGroup="Representantes-EMH" count="0" hidden="1"/>
    <cacheHierarchy uniqueName="[Measures].[__XL_Count Representantes-ESP]" caption="__XL_Count Representantes-ESP" measure="1" displayFolder="" measureGroup="Representantes-ESP" count="0" hidden="1"/>
    <cacheHierarchy uniqueName="[Measures].[__XL_Count Representantes-HSP]" caption="__XL_Count Representantes-HSP" measure="1" displayFolder="" measureGroup="Representantes-HSP" count="0" hidden="1"/>
    <cacheHierarchy uniqueName="[Measures].[__XL_Count Venda]" caption="__XL_Count Venda" measure="1" displayFolder="" measureGroup="Venda" count="0" hidden="1"/>
    <cacheHierarchy uniqueName="[Measures].[__XL_Count Visitas-Outros]" caption="__XL_Count Visitas-Outros" measure="1" displayFolder="" measureGroup="Visitas-Outros" count="0" hidden="1"/>
    <cacheHierarchy uniqueName="[Measures].[__XL_Count Cota-Venda]" caption="__XL_Count Cota-Venda" measure="1" displayFolder="" measureGroup="Cota-Venda" count="0" hidden="1"/>
    <cacheHierarchy uniqueName="[Measures].[__XL_Count Cota-Demanda]" caption="__XL_Count Cota-Demanda" measure="1" displayFolder="" measureGroup="Cota-Demanda" count="0" hidden="1"/>
    <cacheHierarchy uniqueName="[Measures].[__XL_Count Valores-Gerentes]" caption="__XL_Count Valores-Gerentes" measure="1" displayFolder="" measureGroup="Valores-Gerentes" count="0" hidden="1"/>
    <cacheHierarchy uniqueName="[Measures].[__XL_Count Valores-Representantes-EMH]" caption="__XL_Count Valores-Representantes-EMH" measure="1" displayFolder="" measureGroup="Valores-Representantes-EMH" count="0" hidden="1"/>
    <cacheHierarchy uniqueName="[Measures].[__XL_Count Valores-Representantes-HSP]" caption="__XL_Count Valores-Representantes-HSP" measure="1" displayFolder="" measureGroup="Valores-Representantes-HSP" count="0" hidden="1"/>
    <cacheHierarchy uniqueName="[Measures].[__XL_Count Valores-Representantes-ESP]" caption="__XL_Count Valores-Representantes-ESP" measure="1" displayFolder="" measureGroup="Valores-Representantes-ESP" count="0" hidden="1"/>
    <cacheHierarchy uniqueName="[Measures].[__XL_Count Representantes-IV]" caption="__XL_Count Representantes-IV" measure="1" displayFolder="" measureGroup="Representantes-IV" count="0" hidden="1"/>
    <cacheHierarchy uniqueName="[Measures].[__XL_Count Demanda-IV-REP]" caption="__XL_Count Demanda-IV-REP" measure="1" displayFolder="" measureGroup="Demanda-IV-REP" count="0" hidden="1"/>
    <cacheHierarchy uniqueName="[Measures].[__No measures defined]" caption="__No measures defined" measure="1" displayFolder="" count="0" hidden="1"/>
    <cacheHierarchy uniqueName="[Measures].[Soma de Venda-BRL]" caption="Soma de Venda-BRL" measure="1" displayFolder="" measureGroup="Venda" count="0" hidden="1">
      <extLst>
        <ext xmlns:x15="http://schemas.microsoft.com/office/spreadsheetml/2010/11/main" uri="{B97F6D7D-B522-45F9-BDA1-12C45D357490}">
          <x15:cacheHierarchy aggregatedColumn="203"/>
        </ext>
      </extLst>
    </cacheHierarchy>
    <cacheHierarchy uniqueName="[Measures].[Soma de Cota-Venda]" caption="Soma de Cota-Venda" measure="1" displayFolder="" measureGroup="Cota-Vend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Cota-Gerente]" caption="Soma de Cota-Gere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manda-EQ]" caption="Soma de Demanda-EQ" measure="1" displayFolder="" measureGroup="Demanda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oma de Cota-Representante]" caption="Soma de Cota-Representa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Demanda-IV 2]" caption="Soma de Demanda-IV 2" measure="1" displayFolder="" measureGroup="Demanda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</cacheHierarchies>
  <kpis count="0"/>
  <dimensions count="22">
    <dimension name="Cota-Demanda" uniqueName="[Cota-Demanda]" caption="Cota-Demanda"/>
    <dimension name="Cota-Venda" uniqueName="[Cota-Venda]" caption="Cota-Venda"/>
    <dimension name="Datas" uniqueName="[Datas]" caption="Datas"/>
    <dimension name="Demanda" uniqueName="[Demanda]" caption="Demanda"/>
    <dimension name="Demanda-IV-REP" uniqueName="[Demanda-IV-REP]" caption="Demanda-IV-REP"/>
    <dimension name="Distribuidores" uniqueName="[Distribuidores]" caption="Distribuidores"/>
    <dimension name="Estabelecimentos" uniqueName="[Estabelecimentos]" caption="Estabelecimentos"/>
    <dimension name="Gerentes" uniqueName="[Gerentes]" caption="Gerentes"/>
    <dimension measure="1" name="Measures" uniqueName="[Measures]" caption="Measures"/>
    <dimension name="Produtos" uniqueName="[Produtos]" caption="Produtos"/>
    <dimension name="Produtos-Linhas" uniqueName="[Produtos-Linhas]" caption="Produtos-Linhas"/>
    <dimension name="Representantes" uniqueName="[Representantes]" caption="Representantes"/>
    <dimension name="Representantes-EMH" uniqueName="[Representantes-EMH]" caption="Representantes-EMH"/>
    <dimension name="Representantes-ESP" uniqueName="[Representantes-ESP]" caption="Representantes-ESP"/>
    <dimension name="Representantes-HSP" uniqueName="[Representantes-HSP]" caption="Representantes-HSP"/>
    <dimension name="Representantes-IV" uniqueName="[Representantes-IV]" caption="Representantes-IV"/>
    <dimension name="Valores-Gerentes" uniqueName="[Valores-Gerentes]" caption="Valores-Gerentes"/>
    <dimension name="Valores-Representantes-EMH" uniqueName="[Valores-Representantes-EMH]" caption="Valores-Representantes-EMH"/>
    <dimension name="Valores-Representantes-ESP" uniqueName="[Valores-Representantes-ESP]" caption="Valores-Representantes-ESP"/>
    <dimension name="Valores-Representantes-HSP" uniqueName="[Valores-Representantes-HSP]" caption="Valores-Representantes-HSP"/>
    <dimension name="Venda" uniqueName="[Venda]" caption="Venda"/>
    <dimension name="Visitas-Outros" uniqueName="[Visitas-Outros]" caption="Visitas-Outros"/>
  </dimensions>
  <measureGroups count="21">
    <measureGroup name="Cota-Demanda" caption="Cota-Demanda"/>
    <measureGroup name="Cota-Venda" caption="Cota-Venda"/>
    <measureGroup name="Datas" caption="Datas"/>
    <measureGroup name="Demanda" caption="Demanda"/>
    <measureGroup name="Demanda-IV-REP" caption="Demanda-IV-REP"/>
    <measureGroup name="Distribuidores" caption="Distribuidores"/>
    <measureGroup name="Estabelecimentos" caption="Estabelecimentos"/>
    <measureGroup name="Gerentes" caption="Gerentes"/>
    <measureGroup name="Produtos" caption="Produtos"/>
    <measureGroup name="Produtos-Linhas" caption="Produtos-Linhas"/>
    <measureGroup name="Representantes" caption="Representantes"/>
    <measureGroup name="Representantes-EMH" caption="Representantes-EMH"/>
    <measureGroup name="Representantes-ESP" caption="Representantes-ESP"/>
    <measureGroup name="Representantes-HSP" caption="Representantes-HSP"/>
    <measureGroup name="Representantes-IV" caption="Representantes-IV"/>
    <measureGroup name="Valores-Gerentes" caption="Valores-Gerentes"/>
    <measureGroup name="Valores-Representantes-EMH" caption="Valores-Representantes-EMH"/>
    <measureGroup name="Valores-Representantes-ESP" caption="Valores-Representantes-ESP"/>
    <measureGroup name="Valores-Representantes-HSP" caption="Valores-Representantes-HSP"/>
    <measureGroup name="Venda" caption="Venda"/>
    <measureGroup name="Visitas-Outros" caption="Visitas-Outros"/>
  </measureGroups>
  <maps count="59">
    <map measureGroup="0" dimension="0"/>
    <map measureGroup="0" dimension="2"/>
    <map measureGroup="0" dimension="7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1" dimension="1"/>
    <map measureGroup="1" dimension="2"/>
    <map measureGroup="1" dimension="7"/>
    <map measureGroup="1" dimension="9"/>
    <map measureGroup="1" dimension="10"/>
    <map measureGroup="1" dimension="11"/>
    <map measureGroup="2" dimension="2"/>
    <map measureGroup="3" dimension="2"/>
    <map measureGroup="3" dimension="3"/>
    <map measureGroup="3" dimension="5"/>
    <map measureGroup="3" dimension="6"/>
    <map measureGroup="3" dimension="7"/>
    <map measureGroup="3" dimension="9"/>
    <map measureGroup="3" dimension="10"/>
    <map measureGroup="3" dimension="12"/>
    <map measureGroup="3" dimension="13"/>
    <map measureGroup="3" dimension="14"/>
    <map measureGroup="4" dimension="2"/>
    <map measureGroup="4" dimension="4"/>
    <map measureGroup="4" dimension="10"/>
    <map measureGroup="4" dimension="11"/>
    <map measureGroup="4" dimension="15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  <map measureGroup="15" dimension="16"/>
    <map measureGroup="16" dimension="17"/>
    <map measureGroup="17" dimension="18"/>
    <map measureGroup="18" dimension="19"/>
    <map measureGroup="19" dimension="2"/>
    <map measureGroup="19" dimension="6"/>
    <map measureGroup="19" dimension="7"/>
    <map measureGroup="19" dimension="9"/>
    <map measureGroup="19" dimension="10"/>
    <map measureGroup="19" dimension="11"/>
    <map measureGroup="19" dimension="20"/>
    <map measureGroup="20" dimension="2"/>
    <map measureGroup="20" dimension="7"/>
    <map measureGroup="20" dimension="11"/>
    <map measureGroup="20" dimension="12"/>
    <map measureGroup="20" dimension="13"/>
    <map measureGroup="20" dimension="14"/>
    <map measureGroup="20" dimension="2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s v="aline.fonseca@cslbehring.com"/>
    <x v="0"/>
    <x v="0"/>
    <b v="1"/>
    <b v="0"/>
    <b v="0"/>
    <s v="OK"/>
    <n v="15"/>
    <n v="61"/>
    <n v="37"/>
    <n v="513"/>
    <n v="12590"/>
    <n v="0"/>
    <n v="129"/>
    <n v="210"/>
    <n v="0"/>
    <n v="4761.17"/>
    <s v="-"/>
    <n v="0.47299999999999998"/>
    <n v="0.17699999999999999"/>
    <s v="-"/>
    <n v="2.645"/>
    <n v="0"/>
    <n v="0"/>
    <n v="0"/>
    <n v="0"/>
    <n v="1559.1016"/>
    <n v="0"/>
    <n v="0"/>
    <n v="0"/>
    <n v="0"/>
    <n v="0"/>
    <n v="0"/>
    <n v="0"/>
    <n v="0"/>
    <n v="0"/>
    <n v="0"/>
    <n v="0"/>
    <n v="0"/>
    <n v="0"/>
    <n v="0"/>
    <n v="1559.1016"/>
    <n v="24875647.060000017"/>
    <n v="30797896.699999992"/>
    <n v="1.2389999999999999"/>
    <n v="631.32569999999998"/>
    <n v="92"/>
    <n v="139"/>
    <n v="1.5109999999999999"/>
    <n v="1559.1016"/>
    <n v="1"/>
    <n v="376.08229999999998"/>
    <n v="1"/>
    <n v="1128.2470000000001"/>
    <n v="1"/>
    <n v="376.08229999999998"/>
    <n v="1"/>
    <n v="376.08229999999998"/>
    <n v="6006.0227999999997"/>
  </r>
  <r>
    <s v="antonio.tunes@cslbehring.com"/>
    <x v="1"/>
    <x v="0"/>
    <b v="1"/>
    <b v="0"/>
    <b v="0"/>
    <s v="OK"/>
    <n v="0"/>
    <n v="47"/>
    <n v="91"/>
    <n v="528"/>
    <n v="2580"/>
    <n v="0"/>
    <n v="172"/>
    <n v="273"/>
    <n v="0"/>
    <n v="5441.33"/>
    <s v="-"/>
    <n v="0.27400000000000002"/>
    <n v="0.33400000000000002"/>
    <s v="-"/>
    <n v="0.474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75647.060000017"/>
    <n v="30797896.699999992"/>
    <n v="1.2389999999999999"/>
    <n v="631.32569999999998"/>
    <n v="84"/>
    <n v="133"/>
    <n v="1.5839999999999999"/>
    <n v="1559.1016"/>
    <n v="1"/>
    <n v="376.08229999999998"/>
    <n v="1"/>
    <n v="1128.2470000000001"/>
    <n v="1"/>
    <n v="376.08229999999998"/>
    <n v="1"/>
    <n v="376.08229999999998"/>
    <n v="4446.9211999999998"/>
  </r>
  <r>
    <s v="artur.junior@cslbehring.com"/>
    <x v="2"/>
    <x v="0"/>
    <b v="1"/>
    <b v="0"/>
    <b v="0"/>
    <s v="OK"/>
    <n v="3"/>
    <n v="48"/>
    <n v="19"/>
    <n v="1171"/>
    <n v="2780"/>
    <n v="0"/>
    <n v="107.5"/>
    <n v="84"/>
    <n v="0"/>
    <n v="8842.17"/>
    <s v="-"/>
    <n v="0.44700000000000001"/>
    <n v="0.22700000000000001"/>
    <s v="-"/>
    <n v="0.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75647.060000017"/>
    <n v="30797896.699999992"/>
    <n v="1.2389999999999999"/>
    <n v="631.32569999999998"/>
    <n v="84"/>
    <n v="127"/>
    <n v="1.5119999999999998"/>
    <n v="1559.1016"/>
    <n v="1"/>
    <n v="376.08229999999998"/>
    <n v="1"/>
    <n v="1128.2470000000001"/>
    <n v="1"/>
    <n v="376.08229999999998"/>
    <n v="1"/>
    <n v="376.08229999999998"/>
    <n v="4446.9211999999998"/>
  </r>
  <r>
    <s v="fernanda.bornhausen@cslbehring.com"/>
    <x v="3"/>
    <x v="0"/>
    <b v="1"/>
    <b v="0"/>
    <b v="0"/>
    <s v="OK"/>
    <n v="232"/>
    <n v="7"/>
    <n v="3"/>
    <n v="264"/>
    <n v="11855"/>
    <n v="0"/>
    <n v="64.5"/>
    <n v="84"/>
    <n v="0"/>
    <n v="11562.83"/>
    <s v="-"/>
    <n v="0.109"/>
    <n v="3.6000000000000004E-2"/>
    <s v="-"/>
    <n v="1.0259999999999998"/>
    <n v="0"/>
    <n v="0"/>
    <n v="0"/>
    <n v="0"/>
    <n v="385.48399999999998"/>
    <n v="0"/>
    <n v="0"/>
    <n v="0"/>
    <n v="0"/>
    <n v="0"/>
    <n v="0"/>
    <n v="0"/>
    <n v="0"/>
    <n v="0"/>
    <n v="0"/>
    <n v="0"/>
    <n v="0"/>
    <n v="0"/>
    <n v="0"/>
    <n v="385.48399999999998"/>
    <n v="24875647.060000017"/>
    <n v="30797896.699999992"/>
    <n v="1.2389999999999999"/>
    <n v="631.32569999999998"/>
    <n v="92"/>
    <n v="119"/>
    <n v="1.2939999999999998"/>
    <n v="1318.7465999999999"/>
    <n v="1"/>
    <n v="376.08229999999998"/>
    <n v="1"/>
    <n v="1128.2470000000001"/>
    <n v="1"/>
    <n v="376.08229999999998"/>
    <n v="1"/>
    <n v="376.08229999999998"/>
    <n v="4592.0502000000006"/>
  </r>
  <r>
    <s v="karen.rosa@cslbehring.com"/>
    <x v="4"/>
    <x v="0"/>
    <b v="1"/>
    <b v="0"/>
    <b v="0"/>
    <s v="OK"/>
    <n v="0"/>
    <n v="82"/>
    <n v="47"/>
    <n v="817"/>
    <n v="4187.5"/>
    <n v="0"/>
    <n v="236.5"/>
    <n v="105"/>
    <n v="0"/>
    <n v="4761.17"/>
    <s v="-"/>
    <n v="0.34699999999999998"/>
    <n v="0.44800000000000001"/>
    <s v="-"/>
    <n v="0.88"/>
    <n v="0"/>
    <n v="0"/>
    <n v="0"/>
    <n v="0"/>
    <n v="165.47620000000001"/>
    <n v="0"/>
    <n v="0"/>
    <n v="0"/>
    <n v="0"/>
    <n v="0"/>
    <n v="0"/>
    <n v="0"/>
    <n v="0"/>
    <n v="0"/>
    <n v="0"/>
    <n v="0"/>
    <n v="0"/>
    <n v="0"/>
    <n v="0"/>
    <n v="165.47620000000001"/>
    <n v="24875647.060000017"/>
    <n v="30797896.699999992"/>
    <n v="1.2389999999999999"/>
    <n v="631.32569999999998"/>
    <n v="92"/>
    <n v="142"/>
    <n v="1.5439999999999998"/>
    <n v="1559.1016"/>
    <n v="1"/>
    <n v="376.08229999999998"/>
    <n v="1"/>
    <n v="1128.2470000000001"/>
    <n v="1"/>
    <n v="376.08229999999998"/>
    <n v="1"/>
    <n v="376.08229999999998"/>
    <n v="4612.3973999999998"/>
  </r>
  <r>
    <s v="kleber.silva@cslbehring.com"/>
    <x v="5"/>
    <x v="0"/>
    <b v="1"/>
    <b v="0"/>
    <b v="0"/>
    <s v="OK"/>
    <n v="128"/>
    <n v="43"/>
    <n v="17"/>
    <n v="11"/>
    <n v="5360"/>
    <n v="0"/>
    <n v="107.5"/>
    <n v="273"/>
    <n v="0"/>
    <n v="2040.5"/>
    <s v="-"/>
    <n v="0.4"/>
    <n v="6.3E-2"/>
    <s v="-"/>
    <n v="2.6269999999999998"/>
    <n v="0"/>
    <n v="0"/>
    <n v="0"/>
    <n v="0"/>
    <n v="1559.1016"/>
    <n v="0"/>
    <n v="0"/>
    <n v="0"/>
    <n v="0"/>
    <n v="0"/>
    <n v="0"/>
    <n v="0"/>
    <n v="0"/>
    <n v="0"/>
    <n v="0"/>
    <n v="0"/>
    <n v="0"/>
    <n v="0"/>
    <n v="0"/>
    <n v="1559.1016"/>
    <n v="24875647.060000017"/>
    <n v="30797896.699999992"/>
    <n v="1.2389999999999999"/>
    <n v="631.32569999999998"/>
    <n v="92"/>
    <n v="126"/>
    <n v="1.3699999999999999"/>
    <n v="1405.1533999999999"/>
    <n v="1"/>
    <n v="376.08229999999998"/>
    <n v="1"/>
    <n v="1128.2470000000001"/>
    <n v="1"/>
    <n v="376.08229999999998"/>
    <n v="1"/>
    <n v="376.08229999999998"/>
    <n v="5852.0745999999999"/>
  </r>
  <r>
    <s v="lais.magalhaes@cslbehring.com"/>
    <x v="6"/>
    <x v="0"/>
    <b v="1"/>
    <b v="0"/>
    <b v="0"/>
    <s v="OK"/>
    <n v="82"/>
    <n v="115"/>
    <n v="47"/>
    <n v="658"/>
    <n v="4320"/>
    <n v="0"/>
    <n v="172"/>
    <n v="126"/>
    <n v="0"/>
    <n v="4081"/>
    <s v="-"/>
    <n v="0.66900000000000004"/>
    <n v="0.374"/>
    <s v="-"/>
    <n v="1.0589999999999999"/>
    <n v="0"/>
    <n v="0"/>
    <n v="0"/>
    <n v="0"/>
    <n v="398.27080000000001"/>
    <n v="0"/>
    <n v="0"/>
    <n v="0"/>
    <n v="0"/>
    <n v="0"/>
    <n v="0"/>
    <n v="0"/>
    <n v="0"/>
    <n v="0"/>
    <n v="0"/>
    <n v="0"/>
    <n v="0"/>
    <n v="0"/>
    <n v="0"/>
    <n v="398.27080000000001"/>
    <n v="24875647.060000017"/>
    <n v="30797896.699999992"/>
    <n v="1.2389999999999999"/>
    <n v="631.32569999999998"/>
    <n v="92"/>
    <n v="138"/>
    <n v="1.5"/>
    <n v="1559.1016"/>
    <n v="1"/>
    <n v="376.08229999999998"/>
    <n v="1"/>
    <n v="1128.2470000000001"/>
    <n v="1"/>
    <n v="376.08229999999998"/>
    <n v="1"/>
    <n v="376.08229999999998"/>
    <n v="4845.192"/>
  </r>
  <r>
    <s v="lenilson.silva@cslbehring.com"/>
    <x v="7"/>
    <x v="0"/>
    <b v="1"/>
    <b v="0"/>
    <b v="0"/>
    <s v="OK"/>
    <n v="20"/>
    <n v="64"/>
    <n v="0"/>
    <n v="168"/>
    <n v="315"/>
    <n v="0"/>
    <n v="258"/>
    <n v="63"/>
    <n v="0"/>
    <n v="2040.5"/>
    <s v="-"/>
    <n v="0.249"/>
    <n v="0"/>
    <s v="-"/>
    <n v="0.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75647.060000017"/>
    <n v="30797896.699999992"/>
    <n v="1.2389999999999999"/>
    <n v="631.32569999999998"/>
    <n v="92"/>
    <n v="125"/>
    <n v="1.359"/>
    <n v="1394.8893"/>
    <n v="1"/>
    <n v="376.08229999999998"/>
    <n v="1"/>
    <n v="1128.2470000000001"/>
    <n v="1"/>
    <n v="376.08229999999998"/>
    <n v="1"/>
    <n v="376.08229999999998"/>
    <n v="4282.7089000000005"/>
  </r>
  <r>
    <s v="marcus.bastos@cslbehring.com"/>
    <x v="8"/>
    <x v="0"/>
    <b v="1"/>
    <b v="0"/>
    <b v="0"/>
    <s v="OK"/>
    <n v="1"/>
    <n v="74"/>
    <n v="83"/>
    <n v="336"/>
    <n v="2995"/>
    <n v="0"/>
    <n v="107.5"/>
    <n v="126"/>
    <n v="0"/>
    <n v="4081"/>
    <s v="-"/>
    <n v="0.68899999999999995"/>
    <n v="0.65900000000000003"/>
    <s v="-"/>
    <n v="0.733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75647.060000017"/>
    <n v="30797896.699999992"/>
    <n v="1.2389999999999999"/>
    <n v="631.32569999999998"/>
    <n v="92"/>
    <n v="136"/>
    <n v="1.4789999999999999"/>
    <n v="1526.6333999999999"/>
    <n v="1"/>
    <n v="376.08229999999998"/>
    <n v="1"/>
    <n v="1128.2470000000001"/>
    <n v="1"/>
    <n v="376.08229999999998"/>
    <n v="1"/>
    <n v="376.08229999999998"/>
    <n v="4414.4530000000004"/>
  </r>
  <r>
    <s v="romeu.soares@cslbehring.com"/>
    <x v="9"/>
    <x v="0"/>
    <b v="1"/>
    <b v="0"/>
    <b v="0"/>
    <s v="OK"/>
    <n v="0"/>
    <n v="235"/>
    <n v="148"/>
    <n v="881"/>
    <n v="2440"/>
    <n v="0"/>
    <n v="236.5"/>
    <n v="252"/>
    <n v="0"/>
    <n v="6121.5"/>
    <s v="-"/>
    <n v="0.99399999999999999"/>
    <n v="0.58799999999999997"/>
    <s v="-"/>
    <n v="0.39900000000000002"/>
    <n v="0"/>
    <n v="210.27699999999999"/>
    <n v="0"/>
    <n v="0"/>
    <n v="0"/>
    <n v="0"/>
    <n v="0"/>
    <n v="0"/>
    <n v="0"/>
    <n v="0"/>
    <n v="0"/>
    <n v="0"/>
    <n v="0"/>
    <n v="0"/>
    <n v="0"/>
    <n v="0"/>
    <n v="210.27699999999999"/>
    <n v="0"/>
    <n v="0"/>
    <n v="0"/>
    <n v="24875647.060000017"/>
    <n v="30797896.699999992"/>
    <n v="1.2389999999999999"/>
    <n v="631.32569999999998"/>
    <n v="92"/>
    <n v="116"/>
    <n v="1.2609999999999999"/>
    <n v="1286.1094000000001"/>
    <n v="1"/>
    <n v="376.08229999999998"/>
    <n v="1"/>
    <n v="1128.2470000000001"/>
    <n v="1"/>
    <n v="376.08229999999998"/>
    <n v="1"/>
    <n v="376.08229999999998"/>
    <n v="4384.2060000000001"/>
  </r>
  <r>
    <s v="tathiana.ponce@cslbehring.com"/>
    <x v="10"/>
    <x v="0"/>
    <b v="1"/>
    <b v="0"/>
    <b v="0"/>
    <s v="OK"/>
    <n v="3"/>
    <n v="116"/>
    <n v="113"/>
    <n v="359"/>
    <n v="6940"/>
    <n v="0"/>
    <n v="215"/>
    <n v="168"/>
    <n v="0"/>
    <n v="7481.83"/>
    <s v="-"/>
    <n v="0.54"/>
    <n v="0.67300000000000004"/>
    <s v="-"/>
    <n v="0.92800000000000005"/>
    <n v="0"/>
    <n v="0"/>
    <n v="0"/>
    <n v="0"/>
    <n v="261.75330000000002"/>
    <n v="0"/>
    <n v="0"/>
    <n v="0"/>
    <n v="0"/>
    <n v="0"/>
    <n v="0"/>
    <n v="0"/>
    <n v="0"/>
    <n v="0"/>
    <n v="0"/>
    <n v="0"/>
    <n v="0"/>
    <n v="0"/>
    <n v="0"/>
    <n v="261.75330000000002"/>
    <n v="24875647.060000017"/>
    <n v="30797896.699999992"/>
    <n v="1.2389999999999999"/>
    <n v="631.32569999999998"/>
    <n v="84"/>
    <n v="125"/>
    <n v="1.4889999999999999"/>
    <n v="1536.9623999999999"/>
    <n v="1"/>
    <n v="376.08229999999998"/>
    <n v="1"/>
    <n v="1128.2470000000001"/>
    <n v="1"/>
    <n v="376.08229999999998"/>
    <n v="1"/>
    <n v="376.08229999999998"/>
    <n v="4686.5353000000005"/>
  </r>
  <r>
    <s v="bruna.claro@cslbehring.com"/>
    <x v="11"/>
    <x v="0"/>
    <b v="0"/>
    <b v="1"/>
    <b v="0"/>
    <s v="OK"/>
    <n v="3"/>
    <n v="56"/>
    <n v="22"/>
    <n v="1179"/>
    <n v="3130"/>
    <n v="19.88"/>
    <n v="0"/>
    <n v="0"/>
    <n v="1343"/>
    <n v="8842.17"/>
    <n v="0.151"/>
    <s v="-"/>
    <s v="-"/>
    <n v="0.878"/>
    <n v="0.35399999999999998"/>
    <n v="0"/>
    <n v="0"/>
    <n v="0"/>
    <n v="247.65020000000001"/>
    <n v="0"/>
    <n v="1"/>
    <n v="0"/>
    <n v="0"/>
    <n v="1"/>
    <n v="1"/>
    <n v="188.0412"/>
    <n v="0"/>
    <n v="0"/>
    <n v="564.12350000000004"/>
    <n v="188.0412"/>
    <n v="188.0412"/>
    <n v="0"/>
    <n v="0"/>
    <n v="564.12350000000004"/>
    <n v="188.0412"/>
    <n v="24875647.060000017"/>
    <n v="30797896.699999992"/>
    <n v="1.2389999999999999"/>
    <n v="631.32569999999998"/>
    <n v="84"/>
    <n v="84"/>
    <n v="1"/>
    <n v="376.08229999999998"/>
    <n v="1"/>
    <n v="376.08229999999998"/>
    <n v="1"/>
    <n v="1128.2470000000001"/>
    <n v="1"/>
    <n v="376.08229999999998"/>
    <n v="1"/>
    <n v="376.08229999999998"/>
    <n v="4204.1077999999998"/>
  </r>
  <r>
    <s v="christiane.garcia@cslbehring.com"/>
    <x v="12"/>
    <x v="0"/>
    <b v="0"/>
    <b v="1"/>
    <b v="0"/>
    <s v="OK"/>
    <n v="0"/>
    <n v="336"/>
    <n v="124"/>
    <n v="445"/>
    <n v="19960"/>
    <n v="19.88"/>
    <n v="0"/>
    <n v="0"/>
    <n v="948"/>
    <n v="10882.67"/>
    <n v="0"/>
    <s v="-"/>
    <s v="-"/>
    <n v="0.47"/>
    <n v="1.835"/>
    <n v="0"/>
    <n v="0"/>
    <n v="0"/>
    <n v="0"/>
    <n v="779.55079999999998"/>
    <n v="0"/>
    <n v="0"/>
    <n v="0"/>
    <n v="0"/>
    <n v="0"/>
    <n v="0"/>
    <n v="0"/>
    <n v="0"/>
    <n v="0"/>
    <n v="0"/>
    <n v="0"/>
    <n v="0"/>
    <n v="0"/>
    <n v="0"/>
    <n v="779.55079999999998"/>
    <n v="24875647.060000017"/>
    <n v="30797896.699999992"/>
    <n v="1.2389999999999999"/>
    <n v="631.32569999999998"/>
    <n v="84"/>
    <n v="125"/>
    <n v="1.4889999999999999"/>
    <n v="1536.9623999999999"/>
    <n v="1"/>
    <n v="376.08229999999998"/>
    <n v="1"/>
    <n v="1128.2470000000001"/>
    <n v="1"/>
    <n v="376.08229999999998"/>
    <n v="1"/>
    <n v="376.08229999999998"/>
    <n v="5204.3328000000001"/>
  </r>
  <r>
    <s v="eveline.goulart@cslbehring.com"/>
    <x v="13"/>
    <x v="0"/>
    <b v="0"/>
    <b v="1"/>
    <b v="0"/>
    <s v="OK"/>
    <n v="1"/>
    <n v="309"/>
    <n v="231"/>
    <n v="1217"/>
    <n v="5435"/>
    <n v="19.88"/>
    <n v="0"/>
    <n v="0"/>
    <n v="1659"/>
    <n v="10202.5"/>
    <n v="5.1000000000000004E-2"/>
    <s v="-"/>
    <s v="-"/>
    <n v="0.73399999999999999"/>
    <n v="0.5330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75647.060000017"/>
    <n v="30797896.699999992"/>
    <n v="1.2389999999999999"/>
    <n v="631.32569999999998"/>
    <n v="92"/>
    <n v="117"/>
    <n v="1.2719999999999998"/>
    <n v="1296.3086000000001"/>
    <n v="1"/>
    <n v="376.08229999999998"/>
    <n v="1"/>
    <n v="1128.2470000000001"/>
    <n v="1"/>
    <n v="376.08229999999998"/>
    <n v="1"/>
    <n v="376.08229999999998"/>
    <n v="4184.1282000000001"/>
  </r>
  <r>
    <s v="janaina.palmiro@cslbehring.com"/>
    <x v="14"/>
    <x v="0"/>
    <b v="0"/>
    <b v="1"/>
    <b v="0"/>
    <s v="OK"/>
    <n v="3"/>
    <n v="75"/>
    <n v="132"/>
    <n v="564"/>
    <n v="4685"/>
    <n v="39.76"/>
    <n v="0"/>
    <n v="0"/>
    <n v="948"/>
    <n v="8842.17"/>
    <n v="7.5999999999999998E-2"/>
    <s v="-"/>
    <s v="-"/>
    <n v="0.59499999999999997"/>
    <n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75647.060000017"/>
    <n v="30797896.699999992"/>
    <n v="1.2389999999999999"/>
    <n v="631.32569999999998"/>
    <n v="84"/>
    <n v="137"/>
    <n v="1.6309999999999998"/>
    <n v="1559.1016"/>
    <n v="1"/>
    <n v="376.08229999999998"/>
    <n v="1"/>
    <n v="1128.2470000000001"/>
    <n v="1"/>
    <n v="376.08229999999998"/>
    <n v="1"/>
    <n v="376.08229999999998"/>
    <n v="4446.9211999999998"/>
  </r>
  <r>
    <s v="michele.moraes@cslbehring.com"/>
    <x v="15"/>
    <x v="0"/>
    <b v="0"/>
    <b v="1"/>
    <b v="0"/>
    <s v="OK"/>
    <n v="247"/>
    <n v="68"/>
    <n v="40"/>
    <n v="777"/>
    <n v="24445"/>
    <n v="159.04"/>
    <n v="0"/>
    <n v="0"/>
    <n v="1027"/>
    <n v="16324"/>
    <n v="1.5539999999999998"/>
    <s v="-"/>
    <s v="-"/>
    <n v="0.75700000000000001"/>
    <n v="1.498"/>
    <n v="779.55079999999998"/>
    <n v="0"/>
    <n v="0"/>
    <n v="0"/>
    <n v="773.64570000000003"/>
    <n v="0"/>
    <n v="0"/>
    <n v="0"/>
    <n v="0"/>
    <n v="0"/>
    <n v="0"/>
    <n v="0"/>
    <n v="0"/>
    <n v="0"/>
    <n v="0"/>
    <n v="779.55079999999998"/>
    <n v="0"/>
    <n v="0"/>
    <n v="0"/>
    <n v="773.64570000000003"/>
    <n v="24875647.060000017"/>
    <n v="30797896.699999992"/>
    <n v="1.2389999999999999"/>
    <n v="631.32569999999998"/>
    <n v="92"/>
    <n v="97"/>
    <n v="1.0549999999999999"/>
    <n v="396.76650000000001"/>
    <n v="1"/>
    <n v="376.08229999999998"/>
    <n v="1"/>
    <n v="1128.2470000000001"/>
    <n v="1"/>
    <n v="376.08229999999998"/>
    <n v="1"/>
    <n v="376.08229999999998"/>
    <n v="4837.7826000000005"/>
  </r>
  <r>
    <s v="valeria.braga@cslbehring.com"/>
    <x v="16"/>
    <x v="0"/>
    <b v="0"/>
    <b v="1"/>
    <b v="0"/>
    <s v="OK"/>
    <n v="230"/>
    <n v="222"/>
    <n v="58"/>
    <n v="834"/>
    <n v="8885"/>
    <n v="99.4"/>
    <n v="0"/>
    <n v="0"/>
    <n v="948"/>
    <n v="8162"/>
    <n v="2.3140000000000001"/>
    <s v="-"/>
    <s v="-"/>
    <n v="0.88"/>
    <n v="1.089"/>
    <n v="779.55079999999998"/>
    <n v="0"/>
    <n v="0"/>
    <n v="248.21430000000001"/>
    <n v="269.23200000000003"/>
    <n v="0"/>
    <n v="0"/>
    <n v="0"/>
    <n v="0"/>
    <n v="0"/>
    <n v="0"/>
    <n v="0"/>
    <n v="0"/>
    <n v="0"/>
    <n v="0"/>
    <n v="779.55079999999998"/>
    <n v="0"/>
    <n v="0"/>
    <n v="248.21430000000001"/>
    <n v="269.23200000000003"/>
    <n v="24875647.060000017"/>
    <n v="30797896.699999992"/>
    <n v="1.2389999999999999"/>
    <n v="631.32569999999998"/>
    <n v="92"/>
    <n v="82"/>
    <n v="0.89200000000000002"/>
    <n v="167.73269999999999"/>
    <n v="1"/>
    <n v="376.08229999999998"/>
    <n v="1"/>
    <n v="1128.2470000000001"/>
    <n v="1"/>
    <n v="376.08229999999998"/>
    <n v="1"/>
    <n v="376.08229999999998"/>
    <n v="4352.5493999999999"/>
  </r>
  <r>
    <s v="iwens.silva@cslbehring.com"/>
    <x v="17"/>
    <x v="0"/>
    <b v="0"/>
    <b v="0"/>
    <b v="1"/>
    <s v="OK"/>
    <n v="4"/>
    <n v="0"/>
    <n v="19"/>
    <n v="282"/>
    <n v="3042.5"/>
    <n v="19.88"/>
    <n v="64.5"/>
    <n v="63"/>
    <n v="395"/>
    <n v="4081"/>
    <n v="0.20200000000000001"/>
    <n v="0"/>
    <n v="0.30199999999999999"/>
    <n v="0.71399999999999997"/>
    <n v="0.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75647.060000017"/>
    <n v="30797896.699999992"/>
    <n v="1.2389999999999999"/>
    <n v="631.32569999999998"/>
    <n v="92"/>
    <n v="124"/>
    <n v="1.3479999999999999"/>
    <n v="1382.5724"/>
    <n v="1"/>
    <n v="376.08229999999998"/>
    <n v="1"/>
    <n v="1128.2470000000001"/>
    <n v="1"/>
    <n v="376.08229999999998"/>
    <n v="1"/>
    <n v="376.08229999999998"/>
    <n v="4270.3919999999998"/>
  </r>
  <r>
    <s v="wladimir.campelo@cslbehring.com"/>
    <x v="18"/>
    <x v="0"/>
    <b v="0"/>
    <b v="0"/>
    <b v="1"/>
    <s v="OK"/>
    <n v="0"/>
    <n v="6"/>
    <n v="12"/>
    <n v="910"/>
    <n v="1120"/>
    <n v="19.88"/>
    <n v="86"/>
    <n v="21"/>
    <n v="632"/>
    <n v="4761.17"/>
    <n v="0"/>
    <n v="7.0000000000000007E-2"/>
    <n v="0.57199999999999995"/>
    <n v="1.44"/>
    <n v="0.23599999999999999"/>
    <n v="0"/>
    <n v="0"/>
    <n v="0"/>
    <n v="1487.383"/>
    <n v="0"/>
    <n v="0"/>
    <n v="0"/>
    <n v="0"/>
    <n v="0"/>
    <n v="0"/>
    <n v="0"/>
    <n v="0"/>
    <n v="0"/>
    <n v="0"/>
    <n v="0"/>
    <n v="0"/>
    <n v="0"/>
    <n v="0"/>
    <n v="1487.383"/>
    <n v="0"/>
    <n v="24875647.060000017"/>
    <n v="30797896.699999992"/>
    <n v="1.2389999999999999"/>
    <n v="631.32569999999998"/>
    <n v="92"/>
    <n v="138"/>
    <n v="1.5"/>
    <n v="1559.1016"/>
    <n v="1"/>
    <n v="376.08229999999998"/>
    <n v="1"/>
    <n v="1128.2470000000001"/>
    <n v="1"/>
    <n v="376.08229999999998"/>
    <n v="1"/>
    <n v="376.08229999999998"/>
    <n v="5934.304200000000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s v="claudia.bueno@cslbehring.com"/>
    <x v="0"/>
    <b v="1"/>
    <x v="0"/>
    <n v="79.52"/>
    <n v="688"/>
    <n v="777"/>
    <n v="3239"/>
    <n v="28567"/>
    <n v="6"/>
    <n v="467"/>
    <n v="278"/>
    <n v="2188"/>
    <n v="27775"/>
    <n v="7.5999999999999998E-2"/>
    <n v="0.67900000000000005"/>
    <n v="0.35799999999999998"/>
    <n v="0.67600000000000005"/>
    <n v="0.97299999999999998"/>
    <n v="0"/>
    <n v="0"/>
    <n v="0"/>
    <n v="0"/>
    <n v="205.83459999999999"/>
    <n v="24875647.060000017"/>
    <n v="30797896.699999992"/>
    <n v="1.2389999999999999"/>
    <n v="946.98860000000002"/>
    <n v="504"/>
    <n v="731"/>
    <n v="1.4509999999999998"/>
    <n v="2246.5680000000002"/>
    <n v="1"/>
    <n v="564.12350000000004"/>
    <n v="1"/>
    <n v="1692.3705"/>
    <n v="1"/>
    <n v="564.12350000000004"/>
    <n v="1"/>
    <n v="564.12350000000004"/>
    <n v="6784.1322"/>
  </r>
  <r>
    <s v="fernando.leony@cslbehring.com"/>
    <x v="1"/>
    <b v="1"/>
    <x v="0"/>
    <n v="119.28"/>
    <n v="860"/>
    <n v="588"/>
    <n v="1580"/>
    <n v="12923.17"/>
    <n v="230"/>
    <n v="310"/>
    <n v="123"/>
    <n v="1854"/>
    <n v="15302.5"/>
    <n v="1.9289999999999998"/>
    <n v="0.36099999999999999"/>
    <n v="0.21"/>
    <n v="1.1739999999999999"/>
    <n v="1.1849999999999998"/>
    <n v="1169.3262"/>
    <n v="0"/>
    <n v="0"/>
    <n v="1487.1881000000001"/>
    <n v="749.92790000000002"/>
    <n v="24875647.060000017"/>
    <n v="30797896.699999992"/>
    <n v="1.2389999999999999"/>
    <n v="946.98860000000002"/>
    <n v="552"/>
    <n v="751"/>
    <n v="1.361"/>
    <n v="2095.4131000000002"/>
    <n v="1"/>
    <n v="564.12350000000004"/>
    <n v="1"/>
    <n v="1692.3705"/>
    <n v="1"/>
    <n v="564.12350000000004"/>
    <n v="1"/>
    <n v="564.12350000000004"/>
    <n v="9833.584899999998"/>
  </r>
  <r>
    <s v="rafael.esteves@cslbehring.com"/>
    <x v="2"/>
    <b v="1"/>
    <x v="0"/>
    <n v="198.79999999999998"/>
    <n v="602"/>
    <n v="735"/>
    <n v="3081"/>
    <n v="26526.5"/>
    <n v="252"/>
    <n v="377"/>
    <n v="290"/>
    <n v="2276"/>
    <n v="32922.5"/>
    <n v="1.2679999999999998"/>
    <n v="0.627"/>
    <n v="0.39500000000000002"/>
    <n v="0.73899999999999999"/>
    <n v="1.242"/>
    <n v="969.17169999999999"/>
    <n v="0"/>
    <n v="0"/>
    <n v="0"/>
    <n v="950.04830000000004"/>
    <n v="24875647.060000017"/>
    <n v="30797896.699999992"/>
    <n v="1.2389999999999999"/>
    <n v="946.98860000000002"/>
    <n v="644"/>
    <n v="848"/>
    <n v="1.3169999999999999"/>
    <n v="2027.6702"/>
    <n v="1"/>
    <n v="564.12350000000004"/>
    <n v="1"/>
    <n v="1692.3705"/>
    <n v="1"/>
    <n v="564.12350000000004"/>
    <n v="1"/>
    <n v="564.12350000000004"/>
    <n v="8278.6198000000004"/>
  </r>
  <r>
    <s v="gerente.distribuidores@cslbehring.com"/>
    <x v="3"/>
    <b v="1"/>
    <x v="1"/>
    <n v="0"/>
    <n v="0"/>
    <n v="0"/>
    <n v="0"/>
    <n v="0"/>
    <n v="0"/>
    <n v="0"/>
    <n v="0"/>
    <n v="0"/>
    <n v="0"/>
    <s v="-"/>
    <s v="-"/>
    <s v="-"/>
    <s v="-"/>
    <s v="-"/>
    <s v="-"/>
    <s v="-"/>
    <s v="-"/>
    <s v="-"/>
    <s v="-"/>
    <s v="-"/>
    <s v="-"/>
    <s v="-"/>
    <s v="-"/>
    <n v="0"/>
    <n v="0"/>
    <s v="-"/>
    <s v="-"/>
    <s v="-"/>
    <s v="-"/>
    <s v="-"/>
    <s v="-"/>
    <s v="-"/>
    <s v="-"/>
    <s v="-"/>
    <s v="-"/>
    <s v="-"/>
  </r>
  <r>
    <s v="gerente.ministerios@cslbehring.com"/>
    <x v="4"/>
    <b v="1"/>
    <x v="1"/>
    <n v="0"/>
    <n v="0"/>
    <n v="0"/>
    <n v="0"/>
    <n v="0"/>
    <n v="0"/>
    <n v="0"/>
    <n v="0"/>
    <n v="0"/>
    <n v="0"/>
    <s v="-"/>
    <s v="-"/>
    <s v="-"/>
    <s v="-"/>
    <s v="-"/>
    <s v="-"/>
    <s v="-"/>
    <s v="-"/>
    <s v="-"/>
    <s v="-"/>
    <s v="-"/>
    <s v="-"/>
    <s v="-"/>
    <s v="-"/>
    <n v="0"/>
    <n v="0"/>
    <s v="-"/>
    <s v="-"/>
    <s v="-"/>
    <s v="-"/>
    <s v="-"/>
    <s v="-"/>
    <s v="-"/>
    <s v="-"/>
    <s v="-"/>
    <s v="-"/>
    <s v="-"/>
  </r>
  <r>
    <s v="gerente-regional@orfao"/>
    <x v="5"/>
    <b v="1"/>
    <x v="1"/>
    <n v="0"/>
    <n v="0"/>
    <n v="0"/>
    <n v="0"/>
    <n v="0"/>
    <n v="0"/>
    <n v="0"/>
    <n v="0"/>
    <n v="0"/>
    <n v="0"/>
    <s v="-"/>
    <s v="-"/>
    <s v="-"/>
    <s v="-"/>
    <s v="-"/>
    <s v="-"/>
    <s v="-"/>
    <s v="-"/>
    <s v="-"/>
    <s v="-"/>
    <s v="-"/>
    <s v="-"/>
    <s v="-"/>
    <s v="-"/>
    <n v="0"/>
    <n v="0"/>
    <s v="-"/>
    <s v="-"/>
    <s v="-"/>
    <s v="-"/>
    <s v="-"/>
    <s v="-"/>
    <s v="-"/>
    <s v="-"/>
    <s v="-"/>
    <s v="-"/>
    <s v="-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634EFB-2842-41FE-8E84-537050544B94}" name="Tabela dinâmica2" cacheId="3" applyNumberFormats="0" applyBorderFormats="0" applyFontFormats="0" applyPatternFormats="0" applyAlignmentFormats="0" applyWidthHeightFormats="1" dataCaption="Valores" grandTotalCaption="Total Representantes" updatedVersion="6" minRefreshableVersion="3" showDrill="0" showDataTips="0" colGrandTotals="0" itemPrintTitles="1" createdVersion="6" indent="0" showHeaders="0" compact="0" compactData="0" multipleFieldFilters="0">
  <location ref="A17:N37" firstHeaderRow="0" firstDataRow="1" firstDataCol="2"/>
  <pivotFields count="59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0">
        <item x="0"/>
        <item x="1"/>
        <item x="2"/>
        <item x="11"/>
        <item x="12"/>
        <item x="13"/>
        <item x="3"/>
        <item x="17"/>
        <item x="14"/>
        <item x="4"/>
        <item x="5"/>
        <item x="6"/>
        <item x="7"/>
        <item x="8"/>
        <item x="15"/>
        <item x="9"/>
        <item x="10"/>
        <item x="16"/>
        <item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n="Cálculo IV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1"/>
  </rowFields>
  <rowItems count="2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BERINERT" fld="37" baseField="1" baseItem="0" numFmtId="164"/>
    <dataField name="BERIPLEX" fld="38" baseField="1" baseItem="0" numFmtId="164"/>
    <dataField name="HAEMO" fld="39" baseField="1" baseItem="0" numFmtId="164"/>
    <dataField name="HIZENTRA" fld="40" baseField="1" baseItem="0" numFmtId="164"/>
    <dataField name="PRIVIGEN" fld="41" baseField="1" baseItem="0" numFmtId="164"/>
    <dataField name="VENDAS" fld="45" baseField="1" baseItem="0" numFmtId="164"/>
    <dataField name="VISITAÇÃO" fld="49" baseField="1" baseItem="0" numFmtId="164"/>
    <dataField name="CONNECT MIND" fld="51" baseField="1" baseItem="0" numFmtId="164"/>
    <dataField name="GER CONTAS" fld="53" baseField="1" baseItem="0" numFmtId="164"/>
    <dataField name="PLATEAU" fld="55" baseField="1" baseItem="0" numFmtId="164"/>
    <dataField name="COMPLIANCE" fld="57" baseField="1" baseItem="0" numFmtId="164"/>
    <dataField name="PRÊMIO TOTAL" fld="58" baseField="1" baseItem="0" numFmtId="164"/>
  </dataFields>
  <formats count="5">
    <format dxfId="542">
      <pivotArea dataOnly="0" labelOnly="1" outline="0" fieldPosition="0">
        <references count="1">
          <reference field="2" count="0"/>
        </references>
      </pivotArea>
    </format>
    <format dxfId="541">
      <pivotArea dataOnly="0" labelOnly="1" outline="0" fieldPosition="0">
        <references count="1">
          <reference field="2" count="0"/>
        </references>
      </pivotArea>
    </format>
    <format dxfId="540">
      <pivotArea dataOnly="0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539">
      <pivotArea dataOnly="0" outline="0" fieldPosition="0">
        <references count="1">
          <reference field="4294967294" count="1">
            <x v="11"/>
          </reference>
        </references>
      </pivotArea>
    </format>
    <format dxfId="538">
      <pivotArea dataOnly="0" outline="0" fieldPosition="0">
        <references count="1">
          <reference field="4294967294" count="1">
            <x v="11"/>
          </reference>
        </references>
      </pivotArea>
    </format>
  </formats>
  <pivotTableStyleInfo name="PivotStyleLight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9E840-C83E-484A-B448-3584BA3F4CEC}" name="Tabela dinâmica1" cacheId="4" applyNumberFormats="0" applyBorderFormats="0" applyFontFormats="0" applyPatternFormats="0" applyAlignmentFormats="0" applyWidthHeightFormats="1" dataCaption="Valores" grandTotalCaption="Total Gerentes Regionais" updatedVersion="6" minRefreshableVersion="3" showDrill="0" showDataTips="0" colGrandTotals="0" itemPrintTitles="1" createdVersion="6" indent="0" showHeaders="0" compact="0" compactData="0" multipleFieldFilters="0">
  <location ref="A10:N14" firstHeaderRow="0" firstDataRow="1" firstDataCol="2"/>
  <pivotFields count="4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7">
        <item x="3"/>
        <item x="4"/>
        <item x="5"/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h="1" x="1"/>
        <item n="Cálculo IV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1"/>
  </rowFields>
  <rowItems count="4">
    <i>
      <x v="1"/>
      <x v="3"/>
    </i>
    <i r="1">
      <x v="4"/>
    </i>
    <i r="1">
      <x v="5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BERINERT" fld="19" baseField="1" baseItem="2" numFmtId="164"/>
    <dataField name="BERIPLEX" fld="20" baseField="1" baseItem="2" numFmtId="164"/>
    <dataField name="HAEMO" fld="21" baseField="1" baseItem="2" numFmtId="164"/>
    <dataField name="HIZENTRA" fld="22" baseField="1" baseItem="2" numFmtId="164"/>
    <dataField name="PRIVIGEN" fld="23" baseField="1" baseItem="3" numFmtId="164"/>
    <dataField name="VENDAS" fld="27" baseField="1" baseItem="3" numFmtId="164"/>
    <dataField name="VISITAÇÃO" fld="31" baseField="1" baseItem="3" numFmtId="164"/>
    <dataField name="CONNECT MIND" fld="33" baseField="1" baseItem="3" numFmtId="164"/>
    <dataField name="GER CONTAS" fld="35" baseField="1" baseItem="3" numFmtId="164"/>
    <dataField name="PLATEAU" fld="37" baseField="1" baseItem="3" numFmtId="164"/>
    <dataField name="COMPLIANCE" fld="39" baseField="1" baseItem="3" numFmtId="164"/>
    <dataField name="PRÊMIO TOTAL" fld="40" baseField="1" baseItem="3" numFmtId="7"/>
  </dataFields>
  <formats count="6">
    <format dxfId="548">
      <pivotArea dataOnly="0" labelOnly="1" outline="0" fieldPosition="0">
        <references count="1">
          <reference field="3" count="0"/>
        </references>
      </pivotArea>
    </format>
    <format dxfId="547">
      <pivotArea outline="0" fieldPosition="0">
        <references count="1">
          <reference field="4294967294" count="1">
            <x v="11"/>
          </reference>
        </references>
      </pivotArea>
    </format>
    <format dxfId="546">
      <pivotArea dataOnly="0" labelOnly="1" outline="0" fieldPosition="0">
        <references count="1">
          <reference field="3" count="0"/>
        </references>
      </pivotArea>
    </format>
    <format dxfId="545">
      <pivotArea dataOnly="0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544">
      <pivotArea dataOnly="0" outline="0" fieldPosition="0">
        <references count="1">
          <reference field="4294967294" count="1">
            <x v="11"/>
          </reference>
        </references>
      </pivotArea>
    </format>
    <format dxfId="543">
      <pivotArea dataOnly="0" outline="0" fieldPosition="0">
        <references count="1">
          <reference field="4294967294" count="1">
            <x v="11"/>
          </reference>
        </references>
      </pivotArea>
    </format>
  </formats>
  <pivotTableStyleInfo name="PivotStyleLight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9A584-A89C-463C-824D-2725C05DDA31}" name="Tabela dinâmica3" cacheId="2" applyNumberFormats="0" applyBorderFormats="0" applyFontFormats="0" applyPatternFormats="0" applyAlignmentFormats="0" applyWidthHeightFormats="1" dataCaption="Valores" tag="02a3ca00-93cb-4c84-b9c7-be3da4508aee" updatedVersion="6" minRefreshableVersion="3" showDrill="0" showMemberPropertyTips="0" showDataTips="0" subtotalHiddenItems="1" colGrandTotals="0" itemPrintTitles="1" createdVersion="6" indent="0" showHeaders="0" outline="1" outlineData="1" multipleFieldFilters="0">
  <location ref="I10:N114" firstHeaderRow="1" firstDataRow="2" firstDataCol="1" rowPageCount="6" colPageCount="1"/>
  <pivotFields count="9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2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>
      <x v="4"/>
    </i>
  </colItems>
  <pageFields count="6">
    <pageField fld="7" hier="74" name="[Gerentes].[#FK-Email-Gerente].&amp;[claudia.bueno@cslbehring.com]" cap="claudia.bueno@cslbehring.com"/>
    <pageField fld="0" hier="30" name="[Datas].[AnoMes-Fiscal].&amp;[2020/2021 (01-Jul)]" cap="2020/2021 (01-Jul)"/>
    <pageField fld="8" hier="77" name="[Gerentes].[@-Calculo-IV].&amp;[True]" cap="TRUE"/>
    <pageField fld="4" hier="37" name="[Demanda].[@-Ministerio].&amp;[False]" cap="FALSE"/>
    <pageField fld="5" hier="38" name="[Demanda].[@-Distribuidor].&amp;[False]" cap="FALSE"/>
    <pageField fld="6" hier="39" name="[Demanda].[@-IV-Demanda].&amp;[True]" cap="TRUE"/>
  </pageFields>
  <dataFields count="1">
    <dataField name="Demanda IV (EQ)" fld="3" baseField="2" baseItem="0" numFmtId="3"/>
  </dataFields>
  <formats count="1">
    <format dxfId="243">
      <pivotArea dataOnly="0" outline="0" fieldPosition="0">
        <references count="1">
          <reference field="1" count="0"/>
        </references>
      </pivotArea>
    </format>
  </formats>
  <pivotHierarchies count="25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Demanda IV (EQ)"/>
  </pivotHierarchies>
  <pivotTableStyleInfo name="PivotStyleMedium7" showRowHeaders="1" showColHeaders="1" showRowStripes="0" showColStripes="0" showLastColumn="1"/>
  <rowHierarchiesUsage count="1">
    <rowHierarchyUsage hierarchyUsage="63"/>
  </rowHierarchiesUsage>
  <colHierarchiesUsage count="1">
    <colHierarchyUsage hierarchyUsage="9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presentantes-HSP]"/>
        <x15:activeTabTopLevelEntity name="[Datas]"/>
        <x15:activeTabTopLevelEntity name="[Produtos-Linhas]"/>
        <x15:activeTabTopLevelEntity name="[Estabelecimentos]"/>
        <x15:activeTabTopLevelEntity name="[Demanda]"/>
        <x15:activeTabTopLevelEntity name="[Representantes-EMH]"/>
        <x15:activeTabTopLevelEntity name="[Gerent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84BCD2-8D20-40C7-B16C-511258A39575}" name="Tabela dinâmica3" cacheId="5" applyNumberFormats="0" applyBorderFormats="0" applyFontFormats="0" applyPatternFormats="0" applyAlignmentFormats="0" applyWidthHeightFormats="1" dataCaption="Valores" tag="756ebf0b-5e34-42bc-be5f-10cad6e0d93e" updatedVersion="6" minRefreshableVersion="3" showDrill="0" showMemberPropertyTips="0" showDataTips="0" subtotalHiddenItems="1" colGrandTotals="0" itemPrintTitles="1" createdVersion="6" indent="0" showHeaders="0" outline="1" outlineData="1" multipleFieldFilters="0">
  <location ref="I9:L35" firstHeaderRow="1" firstDataRow="2" firstDataCol="1" rowPageCount="7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4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3"/>
  </colFields>
  <colItems count="3">
    <i>
      <x/>
    </i>
    <i>
      <x v="1"/>
    </i>
    <i>
      <x v="2"/>
    </i>
  </colItems>
  <pageFields count="7">
    <pageField fld="0" hier="124" name="[Representantes-HSP].[#PK-Email-Representante-HSP].&amp;[tathiana.ponce@cslbehring.com]" cap="tathiana.ponce@cslbehring.com"/>
    <pageField fld="1" hier="30" name="[Datas].[AnoMes-Fiscal].&amp;[2020/2021 (01-Jul)]" cap="2020/2021 (01-Jul)"/>
    <pageField fld="9" hier="129" name="[Representantes-HSP].[@-Calculo-IV].&amp;[True]" cap="TRUE"/>
    <pageField fld="2" hier="100" name="[Produtos-Linhas].[@-HSP].&amp;[True]" cap="TRUE"/>
    <pageField fld="6" hier="37" name="[Demanda].[@-Ministerio].&amp;[False]" cap="FALSE"/>
    <pageField fld="7" hier="38" name="[Demanda].[@-Distribuidor].&amp;[False]" cap="FALSE"/>
    <pageField fld="8" hier="39" name="[Demanda].[@-IV-Demanda].&amp;[True]" cap="TRUE"/>
  </pageFields>
  <dataFields count="1">
    <dataField name="Demanda IV (EQ)" fld="5" baseField="4" baseItem="0" numFmtId="3"/>
  </dataFields>
  <formats count="1">
    <format dxfId="223">
      <pivotArea dataOnly="0" outline="0" fieldPosition="0">
        <references count="1">
          <reference field="3" count="0"/>
        </references>
      </pivotArea>
    </format>
  </formats>
  <pivotHierarchies count="25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Demanda IV (EQ)"/>
  </pivotHierarchies>
  <pivotTableStyleInfo name="PivotStyleMedium7" showRowHeaders="1" showColHeaders="1" showRowStripes="0" showColStripes="0" showLastColumn="1"/>
  <rowHierarchiesUsage count="1">
    <rowHierarchyUsage hierarchyUsage="63"/>
  </rowHierarchiesUsage>
  <colHierarchiesUsage count="1">
    <colHierarchyUsage hierarchyUsage="9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presentantes-HSP]"/>
        <x15:activeTabTopLevelEntity name="[Datas]"/>
        <x15:activeTabTopLevelEntity name="[Produtos-Linhas]"/>
        <x15:activeTabTopLevelEntity name="[Estabelecimentos]"/>
        <x15:activeTabTopLevelEntity name="[Demand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913A20-6616-4B81-A9B4-23980C72BC77}" name="Tabela dinâmica3" cacheId="0" applyNumberFormats="0" applyBorderFormats="0" applyFontFormats="0" applyPatternFormats="0" applyAlignmentFormats="0" applyWidthHeightFormats="1" dataCaption="Valores" tag="b9c28757-52b5-40ce-9652-984792b3fccd" updatedVersion="6" minRefreshableVersion="3" subtotalHiddenItems="1" colGrandTotals="0" itemPrintTitles="1" createdVersion="6" indent="0" outline="1" outlineData="1" multipleFieldFilters="0">
  <location ref="I9:L40" firstHeaderRow="1" firstDataRow="2" firstDataCol="1" rowPageCount="7" colPageCount="1"/>
  <pivotFields count="10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2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1"/>
  </colFields>
  <colItems count="3">
    <i>
      <x/>
    </i>
    <i>
      <x v="1"/>
    </i>
    <i>
      <x v="2"/>
    </i>
  </colItems>
  <pageFields count="7">
    <pageField fld="7" hier="118" name="[Representantes-ESP].[#PK-Email-Representante-ESP].&amp;[bruna.claro@cslbehring.com]" cap="bruna.claro@cslbehring.com"/>
    <pageField fld="0" hier="30" name="[Datas].[AnoMes-Fiscal].&amp;[2020/2021 (01-Jul)]" cap="2020/2021 (01-Jul)"/>
    <pageField fld="8" hier="123" name="[Representantes-ESP].[@-Calculo-IV].&amp;[True]" cap="TRUE"/>
    <pageField fld="9" hier="99" name="[Produtos-Linhas].[@-ESP].&amp;[True]" cap="TRUE"/>
    <pageField fld="4" hier="37" name="[Demanda].[@-Ministerio].&amp;[False]" cap="FALSE"/>
    <pageField fld="5" hier="38" name="[Demanda].[@-Distribuidor].&amp;[False]" cap="FALSE"/>
    <pageField fld="6" hier="39" name="[Demanda].[@-IV-Demanda].&amp;[True]" cap="TRUE"/>
  </pageFields>
  <dataFields count="1">
    <dataField name="Demanda IV (EQ)" fld="3" baseField="2" baseItem="0" numFmtId="3"/>
  </dataFields>
  <formats count="1">
    <format dxfId="203">
      <pivotArea dataOnly="0" outline="0" fieldPosition="0">
        <references count="1">
          <reference field="1" count="0"/>
        </references>
      </pivotArea>
    </format>
  </formats>
  <pivotHierarchies count="25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Demanda IV (EQ)"/>
  </pivotHierarchies>
  <pivotTableStyleInfo name="PivotStyleMedium7" showRowHeaders="1" showColHeaders="1" showRowStripes="0" showColStripes="0" showLastColumn="1"/>
  <rowHierarchiesUsage count="1">
    <rowHierarchyUsage hierarchyUsage="63"/>
  </rowHierarchiesUsage>
  <colHierarchiesUsage count="1">
    <colHierarchyUsage hierarchyUsage="9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presentantes-HSP]"/>
        <x15:activeTabTopLevelEntity name="[Datas]"/>
        <x15:activeTabTopLevelEntity name="[Produtos-Linhas]"/>
        <x15:activeTabTopLevelEntity name="[Estabelecimentos]"/>
        <x15:activeTabTopLevelEntity name="[Demanda]"/>
        <x15:activeTabTopLevelEntity name="[Representantes-ESP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41F188-865A-44D3-ACD7-00BC34B088A9}" name="Tabela dinâmica3" cacheId="1" applyNumberFormats="0" applyBorderFormats="0" applyFontFormats="0" applyPatternFormats="0" applyAlignmentFormats="0" applyWidthHeightFormats="1" dataCaption="Valores" tag="02a3ca00-93cb-4c84-b9c7-be3da4508aee" updatedVersion="6" minRefreshableVersion="3" showDrill="0" showMemberPropertyTips="0" showDataTips="0" subtotalHiddenItems="1" colGrandTotals="0" itemPrintTitles="1" createdVersion="6" indent="0" showHeaders="0" outline="1" outlineData="1" multipleFieldFilters="0">
  <location ref="I9:M45" firstHeaderRow="1" firstDataRow="2" firstDataCol="1" rowPageCount="7" colPageCount="1"/>
  <pivotFields count="10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2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1"/>
  </colFields>
  <colItems count="4">
    <i>
      <x/>
    </i>
    <i>
      <x v="1"/>
    </i>
    <i>
      <x v="2"/>
    </i>
    <i>
      <x v="3"/>
    </i>
  </colItems>
  <pageFields count="7">
    <pageField fld="9" hier="112" name="[Representantes-EMH].[#PK-Email-Representante-EMH].&amp;[wladimir.campelo@cslbehring.com]" cap="wladimir.campelo@cslbehring.com"/>
    <pageField fld="0" hier="30" name="[Datas].[AnoMes-Fiscal].&amp;[2020/2021 (01-Jul)]" cap="2020/2021 (01-Jul)"/>
    <pageField fld="8" hier="117" name="[Representantes-EMH].[@-Calculo-IV].&amp;[True]" cap="TRUE"/>
    <pageField fld="7" hier="101" name="[Produtos-Linhas].[@-EMH].&amp;[True]" cap="TRUE"/>
    <pageField fld="4" hier="37" name="[Demanda].[@-Ministerio].&amp;[False]" cap="FALSE"/>
    <pageField fld="5" hier="38" name="[Demanda].[@-Distribuidor].&amp;[False]" cap="FALSE"/>
    <pageField fld="6" hier="39" name="[Demanda].[@-IV-Demanda].&amp;[True]" cap="TRUE"/>
  </pageFields>
  <dataFields count="1">
    <dataField name="Demanda IV (EQ)" fld="3" baseField="2" baseItem="0" numFmtId="3"/>
  </dataFields>
  <formats count="1">
    <format dxfId="178">
      <pivotArea dataOnly="0" outline="0" fieldPosition="0">
        <references count="1">
          <reference field="1" count="0"/>
        </references>
      </pivotArea>
    </format>
  </formats>
  <pivotHierarchies count="25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Demanda IV (EQ)"/>
  </pivotHierarchies>
  <pivotTableStyleInfo name="PivotStyleMedium7" showRowHeaders="1" showColHeaders="1" showRowStripes="0" showColStripes="0" showLastColumn="1"/>
  <rowHierarchiesUsage count="1">
    <rowHierarchyUsage hierarchyUsage="63"/>
  </rowHierarchiesUsage>
  <colHierarchiesUsage count="1">
    <colHierarchyUsage hierarchyUsage="9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presentantes-HSP]"/>
        <x15:activeTabTopLevelEntity name="[Datas]"/>
        <x15:activeTabTopLevelEntity name="[Produtos-Linhas]"/>
        <x15:activeTabTopLevelEntity name="[Estabelecimentos]"/>
        <x15:activeTabTopLevelEntity name="[Demanda]"/>
        <x15:activeTabTopLevelEntity name="[Representantes-EMH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9" xr16:uid="{160678A8-0F7A-42C4-8AC1-0ADF6DC4658C}" autoFormatId="16" applyNumberFormats="0" applyBorderFormats="0" applyFontFormats="0" applyPatternFormats="0" applyAlignmentFormats="0" applyWidthHeightFormats="0">
  <queryTableRefresh nextId="2">
    <queryTableFields count="1">
      <queryTableField id="1" name="Ultima-Atualizacao-RPT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8" xr16:uid="{E850D0B7-2C22-4CC3-AD02-6631E1F90C72}" autoFormatId="16" applyNumberFormats="0" applyBorderFormats="0" applyFontFormats="0" applyPatternFormats="0" applyAlignmentFormats="0" applyWidthHeightFormats="0">
  <queryTableRefresh nextId="2">
    <queryTableFields count="1">
      <queryTableField id="1" name="Ultima-Atualizacao-Dados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1" xr16:uid="{253C4074-A239-43DE-B8FE-671D9E19F37E}" autoFormatId="16" applyNumberFormats="0" applyBorderFormats="0" applyFontFormats="0" applyPatternFormats="0" applyAlignmentFormats="0" applyWidthHeightFormats="0">
  <queryTableRefresh nextId="44" unboundColumnsRight="37">
    <queryTableFields count="41">
      <queryTableField id="1" name="#FK-Email-Gerente" tableColumnId="1"/>
      <queryTableField id="2" name="Gerente" tableColumnId="2"/>
      <queryTableField id="3" name="@-Ativo" tableColumnId="3"/>
      <queryTableField id="4" name="@-Calculo-IV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7" dataBound="0" tableColumnId="25"/>
      <queryTableField id="28" dataBound="0" tableColumnId="26"/>
      <queryTableField id="29" dataBound="0" tableColumnId="27"/>
      <queryTableField id="30" dataBound="0" tableColumnId="28"/>
      <queryTableField id="31" dataBound="0" tableColumnId="29"/>
      <queryTableField id="32" dataBound="0" tableColumnId="30"/>
      <queryTableField id="33" dataBound="0" tableColumnId="31"/>
      <queryTableField id="34" dataBound="0" tableColumnId="32"/>
      <queryTableField id="35" dataBound="0" tableColumnId="33"/>
      <queryTableField id="36" dataBound="0" tableColumnId="34"/>
      <queryTableField id="37" dataBound="0" tableColumnId="35"/>
      <queryTableField id="38" dataBound="0" tableColumnId="36"/>
      <queryTableField id="39" dataBound="0" tableColumnId="37"/>
      <queryTableField id="40" dataBound="0" tableColumnId="38"/>
      <queryTableField id="41" dataBound="0" tableColumnId="39"/>
      <queryTableField id="42" dataBound="0" tableColumnId="40"/>
      <queryTableField id="43" dataBound="0" tableColumnId="41"/>
    </queryTableFields>
  </queryTableRefresh>
  <extLst>
    <ext xmlns:x15="http://schemas.microsoft.com/office/spreadsheetml/2010/11/main" uri="{883FBD77-0823-4a55-B5E3-86C4891E6966}">
      <x15:queryTable sourceDataName="Consulta - Gerente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7" xr16:uid="{9BE2C876-D46A-43D1-A2AE-51A233E07312}" autoFormatId="16" applyNumberFormats="0" applyBorderFormats="0" applyFontFormats="0" applyPatternFormats="0" applyAlignmentFormats="0" applyWidthHeightFormats="0">
  <queryTableRefresh nextId="38" unboundColumnsRight="26">
    <queryTableFields count="32">
      <queryTableField id="1" name="#PK-Email-Representante-ESP" tableColumnId="1"/>
      <queryTableField id="2" name="Representante-ESP" tableColumnId="2"/>
      <queryTableField id="3" name="#FK-Email-Gerente" tableColumnId="3"/>
      <queryTableField id="4" name="Gerente" tableColumnId="4"/>
      <queryTableField id="5" name="@-Ativo" tableColumnId="5"/>
      <queryTableField id="6" name="@-Calculo-IV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31" dataBound="0" tableColumnId="31"/>
      <queryTableField id="30" dataBound="0" tableColumnId="30"/>
      <queryTableField id="29" dataBound="0" tableColumnId="29"/>
      <queryTableField id="28" dataBound="0" tableColumnId="28"/>
      <queryTableField id="27" dataBound="0" tableColumnId="27"/>
      <queryTableField id="32" dataBound="0" tableColumnId="32"/>
    </queryTableFields>
  </queryTableRefresh>
  <extLst>
    <ext xmlns:x15="http://schemas.microsoft.com/office/spreadsheetml/2010/11/main" uri="{883FBD77-0823-4a55-B5E3-86C4891E6966}">
      <x15:queryTable sourceDataName="Consulta - Representantes-ESP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2" xr16:uid="{21D42E3D-38E9-4624-9A23-1C6689E4DB45}" autoFormatId="16" applyNumberFormats="0" applyBorderFormats="0" applyFontFormats="0" applyPatternFormats="0" applyAlignmentFormats="0" applyWidthHeightFormats="0">
  <queryTableRefresh nextId="60" unboundColumnsRight="53">
    <queryTableFields count="59">
      <queryTableField id="1" name="#PK-Email-Representante" tableColumnId="1"/>
      <queryTableField id="2" name="Representante" tableColumnId="2"/>
      <queryTableField id="3" name="@-Calculo-IV" tableColumnId="3"/>
      <queryTableField id="4" name="@-HSP" tableColumnId="4"/>
      <queryTableField id="5" name="@-ESP" tableColumnId="5"/>
      <queryTableField id="6" name="@-EMH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  <queryTableField id="42" dataBound="0" tableColumnId="42"/>
      <queryTableField id="43" dataBound="0" tableColumnId="43"/>
      <queryTableField id="44" dataBound="0" tableColumnId="44"/>
      <queryTableField id="45" dataBound="0" tableColumnId="45"/>
      <queryTableField id="46" dataBound="0" tableColumnId="46"/>
      <queryTableField id="47" dataBound="0" tableColumnId="47"/>
      <queryTableField id="48" dataBound="0" tableColumnId="48"/>
      <queryTableField id="49" dataBound="0" tableColumnId="49"/>
      <queryTableField id="50" dataBound="0" tableColumnId="50"/>
      <queryTableField id="51" dataBound="0" tableColumnId="51"/>
      <queryTableField id="55" dataBound="0" tableColumnId="56"/>
      <queryTableField id="52" dataBound="0" tableColumnId="53"/>
      <queryTableField id="56" dataBound="0" tableColumnId="57"/>
      <queryTableField id="53" dataBound="0" tableColumnId="54"/>
      <queryTableField id="57" dataBound="0" tableColumnId="58"/>
      <queryTableField id="54" dataBound="0" tableColumnId="55"/>
      <queryTableField id="58" dataBound="0" tableColumnId="59"/>
      <queryTableField id="59" dataBound="0" tableColumnId="60"/>
    </queryTableFields>
  </queryTableRefresh>
  <extLst>
    <ext xmlns:x15="http://schemas.microsoft.com/office/spreadsheetml/2010/11/main" uri="{883FBD77-0823-4a55-B5E3-86C4891E6966}">
      <x15:queryTable sourceDataName="Consulta - Representantes-IV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6" xr16:uid="{DC1BBE61-02C7-4E1E-BA86-DA3F21C16DE9}" autoFormatId="16" applyNumberFormats="0" applyBorderFormats="0" applyFontFormats="0" applyPatternFormats="0" applyAlignmentFormats="0" applyWidthHeightFormats="0">
  <queryTableRefresh nextId="11">
    <queryTableFields count="10">
      <queryTableField id="1" name="#PK-AnoMes-Unv" tableColumnId="1"/>
      <queryTableField id="2" name="#Idx-Ano-Unv" tableColumnId="2"/>
      <queryTableField id="3" name="#Idx-Mes-Unv" tableColumnId="3"/>
      <queryTableField id="4" name="#Idx-Ano-Fiscal" tableColumnId="4"/>
      <queryTableField id="5" name="#Idx-Tri-Fiscal" tableColumnId="5"/>
      <queryTableField id="6" name="#Idx-Mes-Fiscal" tableColumnId="6"/>
      <queryTableField id="7" name="Ano-Fiscal" tableColumnId="7"/>
      <queryTableField id="8" name="Tri-Fiscal" tableColumnId="8"/>
      <queryTableField id="9" name="AnoMes-Fiscal" tableColumnId="9"/>
      <queryTableField id="10" name="Mes-Fiscal" tableColumnId="10"/>
    </queryTableFields>
  </queryTableRefresh>
  <extLst>
    <ext xmlns:x15="http://schemas.microsoft.com/office/spreadsheetml/2010/11/main" uri="{883FBD77-0823-4a55-B5E3-86C4891E6966}">
      <x15:queryTable sourceDataName="Consulta - Dat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5" xr16:uid="{76A9F862-1C6E-489D-9839-54828D1D5D14}" autoFormatId="16" applyNumberFormats="0" applyBorderFormats="0" applyFontFormats="0" applyPatternFormats="0" applyAlignmentFormats="0" applyWidthHeightFormats="0">
  <queryTableRefresh nextId="11">
    <queryTableFields count="10">
      <queryTableField id="1" name="#PK-Cod-Linha" tableColumnId="1"/>
      <queryTableField id="2" name="Linha" tableColumnId="2"/>
      <queryTableField id="3" name="Grupo-IV-Representante" tableColumnId="3"/>
      <queryTableField id="4" name="Grupo-IV-Gerente" tableColumnId="4"/>
      <queryTableField id="5" name="@-IV-Venda" tableColumnId="5"/>
      <queryTableField id="6" name="@-IV-Demanda" tableColumnId="6"/>
      <queryTableField id="7" name="@-ESP" tableColumnId="7"/>
      <queryTableField id="8" name="@-HSP" tableColumnId="8"/>
      <queryTableField id="9" name="@-EMH" tableColumnId="9"/>
      <queryTableField id="10" name="@-Analisar" tableColumnId="10"/>
    </queryTableFields>
  </queryTableRefresh>
  <extLst>
    <ext xmlns:x15="http://schemas.microsoft.com/office/spreadsheetml/2010/11/main" uri="{883FBD77-0823-4a55-B5E3-86C4891E6966}">
      <x15:queryTable sourceDataName="Consulta - Produtos-Linh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6" xr16:uid="{06C900DE-6DD3-4D61-8128-B3D6C2018B7C}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#FK-AnoMes-Unv" tableColumnId="1"/>
      <queryTableField id="2" name="#FK-Cod-Linha" tableColumnId="2"/>
      <queryTableField id="3" name="#FK-Email-Gerente" tableColumnId="3"/>
      <queryTableField id="4" name="#FK-Email-Representante" tableColumnId="4"/>
      <queryTableField id="5" name="#FK-Email-Representante_ESP" tableColumnId="5"/>
      <queryTableField id="6" name="#FK-Email-Representante_HSP" tableColumnId="6"/>
      <queryTableField id="7" name="#FK-Email-Representante_EMH" tableColumnId="7"/>
      <queryTableField id="8" name="@-ESP" tableColumnId="8"/>
      <queryTableField id="9" name="@-HSP" tableColumnId="9"/>
      <queryTableField id="10" name="@-EMH" tableColumnId="10"/>
      <queryTableField id="11" name="@-Garantido" tableColumnId="11"/>
      <queryTableField id="12" name="@-IV-Demanda" tableColumnId="12"/>
      <queryTableField id="13" name="Cota-Representante" tableColumnId="13"/>
      <queryTableField id="14" name="Cota-Gerente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ota-Demanda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7" xr16:uid="{DF26B398-CAA4-46B5-B33F-97A2CF0E89A9}" autoFormatId="16" applyNumberFormats="0" applyBorderFormats="0" applyFontFormats="0" applyPatternFormats="0" applyAlignmentFormats="0" applyWidthHeightFormats="0">
  <queryTableRefresh nextId="8">
    <queryTableFields count="7">
      <queryTableField id="1" name="#FK-AnoMes-Unv" tableColumnId="1"/>
      <queryTableField id="2" name="#FK-Email-Representante" tableColumnId="2"/>
      <queryTableField id="3" name="#FK-Cod-Linha" tableColumnId="3"/>
      <queryTableField id="4" name="@-ESP" tableColumnId="4"/>
      <queryTableField id="5" name="@-HSP" tableColumnId="5"/>
      <queryTableField id="6" name="@-EMH" tableColumnId="6"/>
      <queryTableField id="7" name="Demanda-IV" tableColumnId="7"/>
    </queryTableFields>
  </queryTableRefresh>
  <extLst>
    <ext xmlns:x15="http://schemas.microsoft.com/office/spreadsheetml/2010/11/main" uri="{883FBD77-0823-4a55-B5E3-86C4891E6966}">
      <x15:queryTable sourceDataName="Consulta - Demanda-IV-REP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6" xr16:uid="{D7A7BA7C-E062-4432-90B5-9FFF1F634207}" autoFormatId="16" applyNumberFormats="0" applyBorderFormats="0" applyFontFormats="0" applyPatternFormats="0" applyAlignmentFormats="0" applyWidthHeightFormats="0">
  <queryTableRefresh nextId="5">
    <queryTableFields count="4">
      <queryTableField id="1" name="#FK-AnoMes-Unv" tableColumnId="1"/>
      <queryTableField id="2" name="#FK-Cod-Linha" tableColumnId="2"/>
      <queryTableField id="3" name="#FK-Email-Gerente" tableColumnId="3"/>
      <queryTableField id="4" name="Demanda-IV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9" xr16:uid="{11D027D7-ADA6-4891-8402-FFEF788121CA}" autoFormatId="16" applyNumberFormats="0" applyBorderFormats="0" applyFontFormats="0" applyPatternFormats="0" applyAlignmentFormats="0" applyWidthHeightFormats="0">
  <queryTableRefresh nextId="9">
    <queryTableFields count="8">
      <queryTableField id="1" name="#FK-AnoMes-Unv" tableColumnId="1"/>
      <queryTableField id="2" name="#FK-Cod-Linha" tableColumnId="2"/>
      <queryTableField id="3" name="#FK-Cod-Produto" tableColumnId="3"/>
      <queryTableField id="4" name="#FK-Email-Gerente" tableColumnId="4"/>
      <queryTableField id="5" name="#FK-Email-Representante" tableColumnId="5"/>
      <queryTableField id="6" name="@-Garantido" tableColumnId="6"/>
      <queryTableField id="7" name="@-IV-Venda" tableColumnId="7"/>
      <queryTableField id="8" name="Cota-Venda" tableColumnId="8"/>
    </queryTableFields>
  </queryTableRefresh>
  <extLst>
    <ext xmlns:x15="http://schemas.microsoft.com/office/spreadsheetml/2010/11/main" uri="{883FBD77-0823-4a55-B5E3-86C4891E6966}">
      <x15:queryTable sourceDataName="Consulta - Cota-Venda(1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3" xr16:uid="{287FF629-3B13-4908-8543-3721DBCF84F5}" autoFormatId="16" applyNumberFormats="0" applyBorderFormats="0" applyFontFormats="0" applyPatternFormats="0" applyAlignmentFormats="0" applyWidthHeightFormats="0">
  <queryTableRefresh nextId="14">
    <queryTableFields count="13">
      <queryTableField id="1" name="#FK-AnoMes-Unv" tableColumnId="1"/>
      <queryTableField id="2" name="#FK-Cod-Linha" tableColumnId="2"/>
      <queryTableField id="3" name="#FK-Cod-Produto" tableColumnId="3"/>
      <queryTableField id="4" name="#FK-CNPJ-Estabelecimento" tableColumnId="4"/>
      <queryTableField id="5" name="@-Ministerio" tableColumnId="5"/>
      <queryTableField id="6" name="@-Distribuidor" tableColumnId="6"/>
      <queryTableField id="7" name="@-IV-Venda" tableColumnId="7"/>
      <queryTableField id="8" name="#FK-Email-Gerente" tableColumnId="8"/>
      <queryTableField id="9" name="#FK-Email-Representante" tableColumnId="9"/>
      <queryTableField id="10" name="Venda-UN" tableColumnId="10"/>
      <queryTableField id="11" name="Venda-EQ" tableColumnId="11"/>
      <queryTableField id="12" name="Venda-BRL" tableColumnId="12"/>
      <queryTableField id="13" name="Venda-IV" tableColumnId="13"/>
    </queryTableFields>
  </queryTableRefresh>
  <extLst>
    <ext xmlns:x15="http://schemas.microsoft.com/office/spreadsheetml/2010/11/main" uri="{883FBD77-0823-4a55-B5E3-86C4891E6966}">
      <x15:queryTable sourceDataName="Consulta - Venda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8" xr16:uid="{4AF56A46-7BFC-4721-8976-CF4DE60AFC6A}" autoFormatId="16" applyNumberFormats="0" applyBorderFormats="0" applyFontFormats="0" applyPatternFormats="0" applyAlignmentFormats="0" applyWidthHeightFormats="0">
  <queryTableRefresh nextId="18">
    <queryTableFields count="17">
      <queryTableField id="1" name="#FK-AnoMes-Unv" tableColumnId="1"/>
      <queryTableField id="2" name="#FK-Email-Gerente" tableColumnId="2"/>
      <queryTableField id="3" name="#FK-Email-Representante" tableColumnId="3"/>
      <queryTableField id="4" name="#FK-Email-Representante_ESP" tableColumnId="4"/>
      <queryTableField id="5" name="#FK-Email-Representante_HSP" tableColumnId="5"/>
      <queryTableField id="6" name="#FK-Email-Representante_EMH" tableColumnId="6"/>
      <queryTableField id="7" name="@-ESP" tableColumnId="7"/>
      <queryTableField id="8" name="@-HSP" tableColumnId="8"/>
      <queryTableField id="9" name="@-EMH" tableColumnId="9"/>
      <queryTableField id="10" name="Visitas-Meta" tableColumnId="10"/>
      <queryTableField id="11" name="Visitas-Realizadas" tableColumnId="11"/>
      <queryTableField id="12" name="@Garantido-Visitas" tableColumnId="12"/>
      <queryTableField id="13" name="%Realizado-Visitas" tableColumnId="13"/>
      <queryTableField id="14" name="%Realizado-Connect-Mind" tableColumnId="14"/>
      <queryTableField id="15" name="%Realizado-Aval-GR" tableColumnId="15"/>
      <queryTableField id="16" name="%Realizado-Plateau" tableColumnId="16"/>
      <queryTableField id="17" name="%Realizado-Compliance" tableColumnId="17"/>
    </queryTableFields>
  </queryTableRefresh>
  <extLst>
    <ext xmlns:x15="http://schemas.microsoft.com/office/spreadsheetml/2010/11/main" uri="{883FBD77-0823-4a55-B5E3-86C4891E6966}">
      <x15:queryTable sourceDataName="Consulta - Visitas-Outros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8" xr16:uid="{8BB99462-081F-4434-9A17-3F6402C0BE36}" autoFormatId="16" applyNumberFormats="0" applyBorderFormats="0" applyFontFormats="0" applyPatternFormats="0" applyAlignmentFormats="0" applyWidthHeightFormats="0">
  <queryTableRefresh nextId="15">
    <queryTableFields count="14">
      <queryTableField id="1" name="#PK-Cobertura" tableColumnId="1"/>
      <queryTableField id="2" name="Valor-Base" tableColumnId="2"/>
      <queryTableField id="3" name="05.00%-Demanda-BERINERT" tableColumnId="3"/>
      <queryTableField id="4" name="02.50%-Demanda-BERIPLEX" tableColumnId="4"/>
      <queryTableField id="5" name="02.50%-Demanda-HAEMO" tableColumnId="5"/>
      <queryTableField id="6" name="10.00%-Demanda-HIZENTRA" tableColumnId="6"/>
      <queryTableField id="7" name="05.00%-Demanda-PRIVIGEN" tableColumnId="7"/>
      <queryTableField id="8" name="05.00%-Venda" tableColumnId="8"/>
      <queryTableField id="9" name="10.00%-Visitas" tableColumnId="9"/>
      <queryTableField id="10" name="10.00%-Connect-MInd" tableColumnId="10"/>
      <queryTableField id="11" name="30.00%-Gerente-Contas" tableColumnId="11"/>
      <queryTableField id="12" name="10.00%-Plateau" tableColumnId="12"/>
      <queryTableField id="13" name="10.00%-Compliance" tableColumnId="13"/>
      <queryTableField id="14" name="Check" tableColumnId="14"/>
    </queryTableFields>
  </queryTableRefresh>
  <extLst>
    <ext xmlns:x15="http://schemas.microsoft.com/office/spreadsheetml/2010/11/main" uri="{883FBD77-0823-4a55-B5E3-86C4891E6966}">
      <x15:queryTable sourceDataName="Consulta - Valores-Gerentes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0" xr16:uid="{526758C5-1ABA-4FED-AA1E-6E37CDF33669}" autoFormatId="16" applyNumberFormats="0" applyBorderFormats="0" applyFontFormats="0" applyPatternFormats="0" applyAlignmentFormats="0" applyWidthHeightFormats="0">
  <queryTableRefresh nextId="15">
    <queryTableFields count="14">
      <queryTableField id="1" name="#PK-Cobertura" tableColumnId="1"/>
      <queryTableField id="2" name="Valor-Base" tableColumnId="2"/>
      <queryTableField id="3" name="05.00%-Demanda-BERINERT" tableColumnId="3"/>
      <queryTableField id="4" name="00.00%-Demanda-BERIPLEX" tableColumnId="4"/>
      <queryTableField id="5" name="00.00%-Demanda-HAEMO" tableColumnId="5"/>
      <queryTableField id="6" name="15.00%-Demanda-HIZENTRA" tableColumnId="6"/>
      <queryTableField id="7" name="05.00%-Demanda-PRIVIGEN" tableColumnId="7"/>
      <queryTableField id="8" name="05.00%-Venda" tableColumnId="8"/>
      <queryTableField id="9" name="10.00%-Visitas" tableColumnId="9"/>
      <queryTableField id="10" name="10.00%-Connect-MInd" tableColumnId="10"/>
      <queryTableField id="11" name="30.00%-Gerente-Contas" tableColumnId="11"/>
      <queryTableField id="12" name="10.00%-Plateau" tableColumnId="12"/>
      <queryTableField id="13" name="10.00%-Compliance" tableColumnId="13"/>
      <queryTableField id="14" name="Check" tableColumnId="14"/>
    </queryTableFields>
  </queryTableRefresh>
  <extLst>
    <ext xmlns:x15="http://schemas.microsoft.com/office/spreadsheetml/2010/11/main" uri="{883FBD77-0823-4a55-B5E3-86C4891E6966}">
      <x15:queryTable sourceDataName="Consulta - Valores-Representantes-ESP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4" xr16:uid="{02D7B4E8-E5A9-4C5B-8619-274E79BA77FC}" autoFormatId="16" applyNumberFormats="0" applyBorderFormats="0" applyFontFormats="0" applyPatternFormats="0" applyAlignmentFormats="0" applyWidthHeightFormats="0">
  <queryTableRefresh nextId="15">
    <queryTableFields count="14">
      <queryTableField id="1" name="#PK-Cobertura" tableColumnId="1"/>
      <queryTableField id="2" name="Valor-Base" tableColumnId="2"/>
      <queryTableField id="3" name="00.00%-Demanda-BERINERT" tableColumnId="3"/>
      <queryTableField id="4" name="07.50%-Demanda-BERIPLEX" tableColumnId="4"/>
      <queryTableField id="5" name="07.50%-Demanda-HAEMO" tableColumnId="5"/>
      <queryTableField id="6" name="00.00%-Demanda-HIZENTRA" tableColumnId="6"/>
      <queryTableField id="7" name="10.00%-Demanda-PRIVIGEN" tableColumnId="7"/>
      <queryTableField id="8" name="05.00%-Venda" tableColumnId="8"/>
      <queryTableField id="9" name="10.00%-Visitas" tableColumnId="9"/>
      <queryTableField id="10" name="10.00%-Connect-MInd" tableColumnId="10"/>
      <queryTableField id="11" name="30.00%-Gerente-Contas" tableColumnId="11"/>
      <queryTableField id="12" name="10.00%-Plateau" tableColumnId="12"/>
      <queryTableField id="13" name="10.00%-Compliance" tableColumnId="13"/>
      <queryTableField id="14" name="Check" tableColumnId="14"/>
    </queryTableFields>
  </queryTableRefresh>
  <extLst>
    <ext xmlns:x15="http://schemas.microsoft.com/office/spreadsheetml/2010/11/main" uri="{883FBD77-0823-4a55-B5E3-86C4891E6966}">
      <x15:queryTable sourceDataName="Consulta - Valores-Representantes-HSP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39" xr16:uid="{40AC40B6-A212-460C-AB51-07DEAB3C9012}" autoFormatId="16" applyNumberFormats="0" applyBorderFormats="0" applyFontFormats="0" applyPatternFormats="0" applyAlignmentFormats="0" applyWidthHeightFormats="0">
  <queryTableRefresh nextId="15">
    <queryTableFields count="14">
      <queryTableField id="1" name="#PK-Cobertura" tableColumnId="1"/>
      <queryTableField id="2" name="Valor-Base" tableColumnId="2"/>
      <queryTableField id="3" name="05.00%-Demanda-BERINERT" tableColumnId="3"/>
      <queryTableField id="4" name="02.50%-Demanda-BERIPLEX" tableColumnId="4"/>
      <queryTableField id="5" name="02.50%-Demanda-HAEMO" tableColumnId="5"/>
      <queryTableField id="6" name="10.00%-Demanda-HIZENTRA" tableColumnId="6"/>
      <queryTableField id="7" name="05.00%-Demanda-PRIVIGEN" tableColumnId="7"/>
      <queryTableField id="8" name="05.00%-Venda" tableColumnId="8"/>
      <queryTableField id="9" name="10.00%-Visitas" tableColumnId="9"/>
      <queryTableField id="10" name="10.00%-Connect-MInd" tableColumnId="10"/>
      <queryTableField id="11" name="30.00%-Gerente-Contas" tableColumnId="11"/>
      <queryTableField id="12" name="10.00%-Plateau" tableColumnId="12"/>
      <queryTableField id="13" name="10.00%-Compliance" tableColumnId="13"/>
      <queryTableField id="14" name="Check" tableColumnId="14"/>
    </queryTableFields>
  </queryTableRefresh>
  <extLst>
    <ext xmlns:x15="http://schemas.microsoft.com/office/spreadsheetml/2010/11/main" uri="{883FBD77-0823-4a55-B5E3-86C4891E6966}">
      <x15:queryTable sourceDataName="Consulta - Valores-Representantes-EMH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4D387B2-D213-4D4A-A5E6-DF152F536E3D}" name="Ultima_Atualizacao_RPT" displayName="Ultima_Atualizacao_RPT" ref="A2:A3" tableType="queryTable" totalsRowShown="0">
  <autoFilter ref="A2:A3" xr:uid="{6780ABEC-D224-4A20-8F59-3129938067CF}"/>
  <tableColumns count="1">
    <tableColumn id="1" xr3:uid="{8600D5CE-8CF3-4044-81F1-9ED551C454C8}" uniqueName="1" name="Ultima-Atualizacao-RPT" queryTableFieldId="1" dataDxfId="55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24098E8-7452-404F-A912-B4C5842C1A99}" name="Ultima_Atualizacao_DADOS" displayName="Ultima_Atualizacao_DADOS" ref="B2:B3" tableType="queryTable" totalsRowShown="0">
  <autoFilter ref="B2:B3" xr:uid="{975B410C-0313-4914-A834-7055CD97B2B9}"/>
  <tableColumns count="1">
    <tableColumn id="1" xr3:uid="{E3099110-4BED-4812-91F4-07C2FF76E934}" uniqueName="1" name="Ultima-Atualizacao-Dados" queryTableFieldId="1" dataDxfId="54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4B96C75-8D1D-4838-84B9-82828B3170CA}" name="Gerentes_IV" displayName="Gerentes_IV" ref="A6:AO12" tableType="queryTable" totalsRowShown="0" headerRowDxfId="442" dataDxfId="441">
  <autoFilter ref="A6:AO12" xr:uid="{4CD89993-FEC6-4401-96C1-FE1E233CE3E9}"/>
  <sortState xmlns:xlrd2="http://schemas.microsoft.com/office/spreadsheetml/2017/richdata2" ref="A7:AO12">
    <sortCondition descending="1" ref="C7:C12"/>
    <sortCondition descending="1" ref="D7:D12"/>
    <sortCondition ref="A7:A12"/>
  </sortState>
  <tableColumns count="41">
    <tableColumn id="1" xr3:uid="{D9AC879F-6170-436A-8AC7-1C817BAE1A8C}" uniqueName="1" name="#FK-Email-Gerente" queryTableFieldId="1" dataDxfId="440"/>
    <tableColumn id="2" xr3:uid="{884B4158-BB89-4FC5-83DD-F035C2303755}" uniqueName="2" name="Gerente" queryTableFieldId="2" dataDxfId="439"/>
    <tableColumn id="3" xr3:uid="{7053A381-AAE5-49C6-A8E4-BA3225ED67BB}" uniqueName="3" name="@-Ativo" queryTableFieldId="3" dataDxfId="438"/>
    <tableColumn id="4" xr3:uid="{C163067C-A078-43E4-984F-E91A58CF1E8D}" uniqueName="4" name="@-Calculo-IV" queryTableFieldId="4" dataDxfId="437"/>
    <tableColumn id="5" xr3:uid="{1EE9F494-0080-4C37-A57D-4CED3784154A}" uniqueName="5" name="Cota BERINERT" queryTableFieldId="5" dataDxfId="436">
      <calculatedColumnFormula>SUMIFS(Cota_Demanda[Cota-Gerente],Cota_Demanda['#FK-Cod-Linha],'Gerentes-IV'!E$1,Cota_Demanda['#FK-Email-Gerente],Gerentes_IV[[#This Row],['#FK-Email-Gerente]])</calculatedColumnFormula>
    </tableColumn>
    <tableColumn id="6" xr3:uid="{5EB07DE8-1B7C-43A8-9B76-14AB23826AED}" uniqueName="6" name="Cota BERIPLEX" queryTableFieldId="6" dataDxfId="435">
      <calculatedColumnFormula>SUMIFS(Cota_Demanda[Cota-Gerente],Cota_Demanda['#FK-Cod-Linha],'Gerentes-IV'!F$1,Cota_Demanda['#FK-Email-Gerente],Gerentes_IV[[#This Row],['#FK-Email-Gerente]])</calculatedColumnFormula>
    </tableColumn>
    <tableColumn id="7" xr3:uid="{A790E415-0B5F-4338-9342-272E8AF8A116}" uniqueName="7" name="Cota HAEMO" queryTableFieldId="7" dataDxfId="434">
      <calculatedColumnFormula>SUMIFS(Cota_Demanda[Cota-Gerente],Cota_Demanda['#FK-Cod-Linha],'Gerentes-IV'!G$1,Cota_Demanda['#FK-Email-Gerente],Gerentes_IV[[#This Row],['#FK-Email-Gerente]])</calculatedColumnFormula>
    </tableColumn>
    <tableColumn id="8" xr3:uid="{6A7B607D-14C3-467C-B6AD-1DF5643C4FBB}" uniqueName="8" name="Cota HIZENTRA" queryTableFieldId="8" dataDxfId="433">
      <calculatedColumnFormula>SUMIFS(Cota_Demanda[Cota-Gerente],Cota_Demanda['#FK-Cod-Linha],'Gerentes-IV'!H$1,Cota_Demanda['#FK-Email-Gerente],Gerentes_IV[[#This Row],['#FK-Email-Gerente]])</calculatedColumnFormula>
    </tableColumn>
    <tableColumn id="9" xr3:uid="{9B1E0C7B-EE2F-486D-8C69-004CB47AFE2D}" uniqueName="9" name="Cota PRIVIGEN" queryTableFieldId="9" dataDxfId="432">
      <calculatedColumnFormula>SUMIFS(Cota_Demanda[Cota-Gerente],Cota_Demanda['#FK-Cod-Linha],'Gerentes-IV'!I$1,Cota_Demanda['#FK-Email-Gerente],Gerentes_IV[[#This Row],['#FK-Email-Gerente]])</calculatedColumnFormula>
    </tableColumn>
    <tableColumn id="10" xr3:uid="{B9AC9562-2836-4894-A4F6-E6CC606830B9}" uniqueName="10" name="Demanda BERINERT" queryTableFieldId="10" dataDxfId="431">
      <calculatedColumnFormula>SUMIFS(Demanda_IV_GR[Demanda-IV],Demanda_IV_GR['#FK-Cod-Linha],J$1,Demanda_IV_GR['#FK-Email-Gerente],Gerentes_IV[[#This Row],['#FK-Email-Gerente]])</calculatedColumnFormula>
    </tableColumn>
    <tableColumn id="11" xr3:uid="{D54145DF-D36C-4DEF-BE33-4DBACA53863B}" uniqueName="11" name="Demanda BERIPLEX" queryTableFieldId="11" dataDxfId="430">
      <calculatedColumnFormula>SUMIFS(Demanda_IV_GR[Demanda-IV],Demanda_IV_GR['#FK-Cod-Linha],K$1,Demanda_IV_GR['#FK-Email-Gerente],Gerentes_IV[[#This Row],['#FK-Email-Gerente]])</calculatedColumnFormula>
    </tableColumn>
    <tableColumn id="12" xr3:uid="{D2AB4DC7-BBB6-4514-B9C2-EC27F5D81FA5}" uniqueName="12" name="Demanda HAEMO" queryTableFieldId="12" dataDxfId="429">
      <calculatedColumnFormula>SUMIFS(Demanda_IV_GR[Demanda-IV],Demanda_IV_GR['#FK-Cod-Linha],L$1,Demanda_IV_GR['#FK-Email-Gerente],Gerentes_IV[[#This Row],['#FK-Email-Gerente]])</calculatedColumnFormula>
    </tableColumn>
    <tableColumn id="13" xr3:uid="{29071FBE-3167-4ECD-A48A-AD32337E7E8C}" uniqueName="13" name="Demanda HIZENTRA" queryTableFieldId="13" dataDxfId="428">
      <calculatedColumnFormula>SUMIFS(Demanda_IV_GR[Demanda-IV],Demanda_IV_GR['#FK-Cod-Linha],M$1,Demanda_IV_GR['#FK-Email-Gerente],Gerentes_IV[[#This Row],['#FK-Email-Gerente]])</calculatedColumnFormula>
    </tableColumn>
    <tableColumn id="14" xr3:uid="{45DEEA73-ADF9-4732-8CDF-1A52300DB2E4}" uniqueName="14" name="Demanda PRIVIGEN" queryTableFieldId="14" dataDxfId="427">
      <calculatedColumnFormula>SUMIFS(Demanda_IV_GR[Demanda-IV],Demanda_IV_GR['#FK-Cod-Linha],N$1,Demanda_IV_GR['#FK-Email-Gerente],Gerentes_IV[[#This Row],['#FK-Email-Gerente]])</calculatedColumnFormula>
    </tableColumn>
    <tableColumn id="15" xr3:uid="{28F440D0-8644-4310-8230-C1DCF8347BC7}" uniqueName="15" name="Cobertura BERINERT" queryTableFieldId="15" dataDxfId="426">
      <calculatedColumnFormula>IF(OR(Gerentes_IV[[#This Row],[@-Ativo]]=FALSE,Gerentes_IV[[#This Row],[@-Calculo-IV]]=FALSE),"-",IFERROR(ROUNDUP(IF(Gerentes_IV[[#This Row],[@-Calculo-IV]]=TRUE,IFERROR(Gerentes_IV[[#This Row],[Demanda BERINERT]]/Gerentes_IV[[#This Row],[Cota BERINERT]],0),0),3),"Erro"))</calculatedColumnFormula>
    </tableColumn>
    <tableColumn id="16" xr3:uid="{C0A740FE-6F94-4E61-A189-E81F6EE597E3}" uniqueName="16" name="Cobertura BERIPLEX" queryTableFieldId="16" dataDxfId="425">
      <calculatedColumnFormula>IF(OR(Gerentes_IV[[#This Row],[@-Ativo]]=FALSE,Gerentes_IV[[#This Row],[@-Calculo-IV]]=FALSE),"-",IFERROR(ROUNDUP(IF(Gerentes_IV[[#This Row],[@-Calculo-IV]]=TRUE,IFERROR(Gerentes_IV[[#This Row],[Demanda BERIPLEX]]/Gerentes_IV[[#This Row],[Cota BERIPLEX]],0),0),3),"Erro"))</calculatedColumnFormula>
    </tableColumn>
    <tableColumn id="17" xr3:uid="{77ED0DCF-F702-43FA-BBE5-93D71073011F}" uniqueName="17" name="Cobertura HAEMO" queryTableFieldId="17" dataDxfId="424">
      <calculatedColumnFormula>IF(OR(Gerentes_IV[[#This Row],[@-Ativo]]=FALSE,Gerentes_IV[[#This Row],[@-Calculo-IV]]=FALSE),"-",IFERROR(ROUNDUP(IF(Gerentes_IV[[#This Row],[@-Calculo-IV]]=TRUE,IFERROR(Gerentes_IV[[#This Row],[Demanda HAEMO]]/Gerentes_IV[[#This Row],[Cota HAEMO]],0),0),3),"Erro"))</calculatedColumnFormula>
    </tableColumn>
    <tableColumn id="18" xr3:uid="{E4BF8D0A-F406-444E-BE15-43C7F975497C}" uniqueName="18" name="Cobertura HIZENTRA" queryTableFieldId="18" dataDxfId="423">
      <calculatedColumnFormula>IF(OR(Gerentes_IV[[#This Row],[@-Ativo]]=FALSE,Gerentes_IV[[#This Row],[@-Calculo-IV]]=FALSE),"-",IFERROR(ROUNDUP(IF(Gerentes_IV[[#This Row],[@-Calculo-IV]]=TRUE,IFERROR(Gerentes_IV[[#This Row],[Demanda HIZENTRA]]/Gerentes_IV[[#This Row],[Cota HIZENTRA]],0),0),3),"Erro"))</calculatedColumnFormula>
    </tableColumn>
    <tableColumn id="19" xr3:uid="{12417EED-88E0-4D47-B8E4-7CA3EE9696E0}" uniqueName="19" name="Cobertura PRIVIGEN" queryTableFieldId="19" dataDxfId="422">
      <calculatedColumnFormula>IF(OR(Gerentes_IV[[#This Row],[@-Ativo]]=FALSE,Gerentes_IV[[#This Row],[@-Calculo-IV]]=FALSE),"-",IFERROR(ROUNDUP(IF(Gerentes_IV[[#This Row],[@-Calculo-IV]]=TRUE,IFERROR(Gerentes_IV[[#This Row],[Demanda PRIVIGEN]]/Gerentes_IV[[#This Row],[Cota PRIVIGEN]],0),0),3),"Erro"))</calculatedColumnFormula>
    </tableColumn>
    <tableColumn id="20" xr3:uid="{DA3636BF-5837-4C52-BC1C-92F9DF3D29CC}" uniqueName="20" name="Premio BERINERT" queryTableFieldId="20" dataDxfId="421">
      <calculatedColumnFormula>IF(OR(Gerentes_IV[[#This Row],[@-Ativo]]=FALSE,Gerentes_IV[[#This Row],[@-Calculo-IV]]=FALSE),"-",IF(Gerentes_IV[[#This Row],[Cobertura BERINERT]]&lt;Cobertura_Minima_Gerente,0,IFERROR(VLOOKUP(Gerentes_IV[[#This Row],[Cobertura BERINERT]],Valores_Gerentes[],T$1,1),"Erro")))</calculatedColumnFormula>
    </tableColumn>
    <tableColumn id="21" xr3:uid="{60F8C5A3-F0B6-4966-94D3-2B90B6277F78}" uniqueName="21" name="Premio BERIPLEX" queryTableFieldId="21" dataDxfId="420">
      <calculatedColumnFormula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calculatedColumnFormula>
    </tableColumn>
    <tableColumn id="22" xr3:uid="{EF108A0F-5A1B-422B-8C4A-CAEE10AEC5DF}" uniqueName="22" name="Premio HAEMO" queryTableFieldId="22" dataDxfId="419">
      <calculatedColumnFormula>IF(OR(Gerentes_IV[[#This Row],[@-Ativo]]=FALSE,Gerentes_IV[[#This Row],[@-Calculo-IV]]=FALSE),"-",IF(Gerentes_IV[[#This Row],[Cobertura HAEMO]]&lt;Cobertura_Minima_Gerente,0,IFERROR(VLOOKUP(Gerentes_IV[[#This Row],[Cobertura HAEMO]],Valores_Gerentes[],V$1,1),"Erro")))</calculatedColumnFormula>
    </tableColumn>
    <tableColumn id="23" xr3:uid="{4CFF38FD-E851-482F-8EE0-614F5E72846A}" uniqueName="23" name="Premio HIZENTRA" queryTableFieldId="23" dataDxfId="418">
      <calculatedColumnFormula>IF(OR(Gerentes_IV[[#This Row],[@-Ativo]]=FALSE,Gerentes_IV[[#This Row],[@-Calculo-IV]]=FALSE),"-",IF(Gerentes_IV[[#This Row],[Cobertura HIZENTRA]]&lt;Cobertura_Minima_Gerente,0,IFERROR(VLOOKUP(Gerentes_IV[[#This Row],[Cobertura HIZENTRA]],Valores_Gerentes[],W$1,1),"Erro")))</calculatedColumnFormula>
    </tableColumn>
    <tableColumn id="24" xr3:uid="{60935F10-1B63-4D85-A8A0-11B535DB809A}" uniqueName="24" name="Premio PRIVIGEN" queryTableFieldId="24" dataDxfId="417">
      <calculatedColumnFormula>IF(OR(Gerentes_IV[[#This Row],[@-Ativo]]=FALSE,Gerentes_IV[[#This Row],[@-Calculo-IV]]=FALSE),"-",IF(Gerentes_IV[[#This Row],[Cobertura PRIVIGEN]]&lt;Cobertura_Minima_Gerente,0,IFERROR(VLOOKUP(Gerentes_IV[[#This Row],[Cobertura PRIVIGEN]],Valores_Gerentes[],X$1,1),"Erro")))</calculatedColumnFormula>
    </tableColumn>
    <tableColumn id="25" xr3:uid="{B1AE8185-3913-44A5-97C8-4A009073BDE1}" uniqueName="25" name="Cota Venda" queryTableFieldId="27" dataDxfId="416">
      <calculatedColumnFormula>IF(OR(Gerentes_IV[[#This Row],[@-Ativo]]=FALSE,Gerentes_IV[[#This Row],[@-Calculo-IV]]=FALSE),"-",SUM(Cota_Venda[Cota-Venda]))</calculatedColumnFormula>
    </tableColumn>
    <tableColumn id="26" xr3:uid="{8757307D-611C-4B50-92E9-ED956D3DC408}" uniqueName="26" name="Venda" queryTableFieldId="28" dataDxfId="415">
      <calculatedColumnFormula>IF(OR(Gerentes_IV[[#This Row],[@-Ativo]]=FALSE,Gerentes_IV[[#This Row],[@-Calculo-IV]]=FALSE),"-",SUMIFS(Venda[Venda-IV],Venda[@-Ministerio],FALSE))</calculatedColumnFormula>
    </tableColumn>
    <tableColumn id="27" xr3:uid="{E9F5D5E4-D329-405B-852B-07EA8CC1DE7C}" uniqueName="27" name="Cobertura Venda" queryTableFieldId="29" dataDxfId="414">
      <calculatedColumnFormula>IF(OR(Gerentes_IV[[#This Row],[@-Ativo]]=FALSE,Gerentes_IV[[#This Row],[@-Calculo-IV]]=FALSE),"-",ROUNDUP(IFERROR(Gerentes_IV[[#This Row],[Venda]]/Gerentes_IV[[#This Row],[Cota Venda]],0),3))</calculatedColumnFormula>
    </tableColumn>
    <tableColumn id="28" xr3:uid="{E381331A-8614-4A4F-B21D-F641CAA19D81}" uniqueName="28" name="Premio Venda" queryTableFieldId="30" dataDxfId="413">
      <calculatedColumnFormula>IF(OR(Gerentes_IV[[#This Row],[@-Ativo]]=FALSE,Gerentes_IV[[#This Row],[@-Calculo-IV]]=FALSE),"-",IF(Gerentes_IV[[#This Row],[Cobertura Venda]]&lt;Cobertura_Minima_Gerente,0,IFERROR(VLOOKUP(Gerentes_IV[[#This Row],[Cobertura Venda]],Valores_Gerentes[],AB$1,1),"Erro")))</calculatedColumnFormula>
    </tableColumn>
    <tableColumn id="29" xr3:uid="{4E63D990-39D8-41A3-86BC-50263AC62C44}" uniqueName="29" name="Meta Visitas" queryTableFieldId="31" dataDxfId="412">
      <calculatedColumnFormula>SUMIFS(Visitas_Outros[Visitas-Meta],Visitas_Outros['#FK-Email-Gerente],Gerentes_IV[[#This Row],['#FK-Email-Gerente]])</calculatedColumnFormula>
    </tableColumn>
    <tableColumn id="30" xr3:uid="{242E7A0C-458B-4A3F-8F1F-FD8376E376CD}" uniqueName="30" name="Visitas" queryTableFieldId="32" dataDxfId="411">
      <calculatedColumnFormula>SUMIFS(Visitas_Outros[Visitas-Realizadas],Visitas_Outros['#FK-Email-Gerente],Gerentes_IV[[#This Row],['#FK-Email-Gerente]])</calculatedColumnFormula>
    </tableColumn>
    <tableColumn id="31" xr3:uid="{DF597BBB-BFDD-43C4-9DA5-24BA61E6A9A4}" uniqueName="31" name="Cobertura Visitas" queryTableFieldId="33" dataDxfId="410">
      <calculatedColumnFormula>IF(OR(Gerentes_IV[[#This Row],[@-Ativo]]=FALSE,Gerentes_IV[[#This Row],[@-Calculo-IV]]=FALSE),"-",ROUNDUP(IFERROR(Gerentes_IV[[#This Row],[Visitas]]/Gerentes_IV[[#This Row],[Meta Visitas]],0),3))</calculatedColumnFormula>
    </tableColumn>
    <tableColumn id="32" xr3:uid="{D7F7F600-25FC-4C91-A7D9-3C5E93BD60C6}" uniqueName="32" name="Premio Visitas" queryTableFieldId="34" dataDxfId="409">
      <calculatedColumnFormula>IF(OR(Gerentes_IV[[#This Row],[@-Ativo]]=FALSE,Gerentes_IV[[#This Row],[@-Calculo-IV]]=FALSE),"-",IF(Gerentes_IV[[#This Row],[Cobertura Visitas]]&lt;Cobertura_Minima_Gerente,0,IFERROR(VLOOKUP(Gerentes_IV[[#This Row],[Cobertura Visitas]],Valores_Gerentes[],AF$1,1),"Erro")))</calculatedColumnFormula>
    </tableColumn>
    <tableColumn id="33" xr3:uid="{59F47BC7-FF57-4BF0-89AB-5E47F6B54811}" uniqueName="33" name="Cobertura Connect Mind" queryTableFieldId="35" dataDxfId="408">
      <calculatedColumnFormula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calculatedColumnFormula>
    </tableColumn>
    <tableColumn id="34" xr3:uid="{623C536A-FABF-41CC-89BF-7657A076E618}" uniqueName="34" name="Premio Connect Mind" queryTableFieldId="36" dataDxfId="407">
      <calculatedColumnFormula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calculatedColumnFormula>
    </tableColumn>
    <tableColumn id="35" xr3:uid="{6B3E367A-24D1-437B-B149-67C626B5387B}" uniqueName="35" name="Cobertura Gerente Conta" queryTableFieldId="37" dataDxfId="406">
      <calculatedColumnFormula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calculatedColumnFormula>
    </tableColumn>
    <tableColumn id="36" xr3:uid="{810188A2-C54C-4688-83F9-C63AFB912560}" uniqueName="36" name="Premio Gerente Conta" queryTableFieldId="38" dataDxfId="405">
      <calculatedColumnFormula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calculatedColumnFormula>
    </tableColumn>
    <tableColumn id="37" xr3:uid="{436CFCCD-6964-401D-81BA-AEF1CEE56294}" uniqueName="37" name="Cobertura Plateau" queryTableFieldId="39" dataDxfId="404">
      <calculatedColumnFormula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calculatedColumnFormula>
    </tableColumn>
    <tableColumn id="38" xr3:uid="{3A86F422-34F4-4A4A-A55C-2F8D27A1BA08}" uniqueName="38" name="Premio Plateau" queryTableFieldId="40" dataDxfId="403">
      <calculatedColumnFormula>IF(OR(Gerentes_IV[[#This Row],[@-Ativo]]=FALSE,Gerentes_IV[[#This Row],[@-Calculo-IV]]=FALSE),"-",IF(Gerentes_IV[[#This Row],[Cobertura Plateau]]&lt;Cobertura_Minima_Gerente,0,IFERROR(VLOOKUP(Gerentes_IV[[#This Row],[Cobertura Plateau]],Valores_Gerentes[],AL$1,1),"Erro")))</calculatedColumnFormula>
    </tableColumn>
    <tableColumn id="39" xr3:uid="{2A4C97F2-DB3F-4C0D-B052-A5FE730E18A7}" uniqueName="39" name="Cobertura Compliance" queryTableFieldId="41" dataDxfId="402">
      <calculatedColumnFormula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calculatedColumnFormula>
    </tableColumn>
    <tableColumn id="40" xr3:uid="{58DA68F4-334C-4881-9A28-35DC377B8073}" uniqueName="40" name="Premio Compliance" queryTableFieldId="42" dataDxfId="401">
      <calculatedColumnFormula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calculatedColumnFormula>
    </tableColumn>
    <tableColumn id="41" xr3:uid="{142D010B-4825-4C59-8BC7-3B75F1F5B1F9}" uniqueName="41" name="Premio Total" queryTableFieldId="43" dataDxfId="400">
      <calculatedColumnFormula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calculatedColumnFormula>
    </tableColumn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D3FD831-A28D-43FD-A9B2-09339826C17B}" name="Representantes_ESP" displayName="Representantes_ESP" ref="A5:AF24" tableType="queryTable" totalsRowShown="0" headerRowDxfId="382" dataDxfId="381">
  <autoFilter ref="A5:AF24" xr:uid="{D2593E0D-76EA-4992-A07C-43CA214B8630}"/>
  <sortState xmlns:xlrd2="http://schemas.microsoft.com/office/spreadsheetml/2017/richdata2" ref="A6:AF24">
    <sortCondition descending="1" ref="E6:E24"/>
    <sortCondition descending="1" ref="F6:F24"/>
    <sortCondition ref="A6:A24"/>
  </sortState>
  <tableColumns count="32">
    <tableColumn id="1" xr3:uid="{AA085C7F-66CA-4F75-BB80-4064FFFBB614}" uniqueName="1" name="#PK-Email-Representante-ESP" queryTableFieldId="1" dataDxfId="380"/>
    <tableColumn id="2" xr3:uid="{C12FDAD1-C8BC-42F0-ABEE-97EF51EE3985}" uniqueName="2" name="Representante-ESP" queryTableFieldId="2" dataDxfId="379"/>
    <tableColumn id="3" xr3:uid="{D0D97B93-D6E1-4128-A89C-20A09D812EC3}" uniqueName="3" name="#FK-Email-Gerente" queryTableFieldId="3" dataDxfId="378"/>
    <tableColumn id="4" xr3:uid="{8EAB3621-8722-4C17-AE40-1130EFF31354}" uniqueName="4" name="Gerente" queryTableFieldId="4" dataDxfId="377"/>
    <tableColumn id="5" xr3:uid="{3304E252-1D23-43D3-9FC7-EDF26370CF67}" uniqueName="5" name="@-Ativo" queryTableFieldId="5" dataDxfId="376"/>
    <tableColumn id="6" xr3:uid="{A0C8B218-1AD2-40FB-9F99-2C9E60AD15E2}" uniqueName="6" name="@-Calculo-IV" queryTableFieldId="6" dataDxfId="375"/>
    <tableColumn id="7" xr3:uid="{EB0364A3-2D86-4C30-9B53-4EC4F0361F5B}" uniqueName="7" name="Cota BERINERT" queryTableFieldId="7" dataDxfId="374">
      <calculatedColumnFormula>SUMIFS(Cota_Demanda[Cota-Representante],Cota_Demanda['#FK-Email-Representante],Representantes_ESP[[#This Row],['#PK-Email-Representante-ESP]],Cota_Demanda['#FK-Cod-Linha],G$1)</calculatedColumnFormula>
    </tableColumn>
    <tableColumn id="8" xr3:uid="{10871D83-CAC4-4823-85A0-F715A7B3C8B2}" uniqueName="8" name="Cota BERIPLEX" queryTableFieldId="8" dataDxfId="373">
      <calculatedColumnFormula>SUMIFS(Cota_Demanda[Cota-Representante],Cota_Demanda['#FK-Email-Representante],Representantes_ESP[[#This Row],['#PK-Email-Representante-ESP]],Cota_Demanda['#FK-Cod-Linha],H$1)</calculatedColumnFormula>
    </tableColumn>
    <tableColumn id="9" xr3:uid="{20028489-396F-4BD0-ACF0-7300B893CA80}" uniqueName="9" name="Cota HAEMO" queryTableFieldId="9" dataDxfId="372">
      <calculatedColumnFormula>SUMIFS(Cota_Demanda[Cota-Representante],Cota_Demanda['#FK-Email-Representante],Representantes_ESP[[#This Row],['#PK-Email-Representante-ESP]],Cota_Demanda['#FK-Cod-Linha],I$1)</calculatedColumnFormula>
    </tableColumn>
    <tableColumn id="10" xr3:uid="{924D9C38-4D9C-4BE7-B5B9-063D4A21B909}" uniqueName="10" name="Cota HIZENTRA" queryTableFieldId="10" dataDxfId="371">
      <calculatedColumnFormula>SUMIFS(Cota_Demanda[Cota-Representante],Cota_Demanda['#FK-Email-Representante],Representantes_ESP[[#This Row],['#PK-Email-Representante-ESP]],Cota_Demanda['#FK-Cod-Linha],J$1)</calculatedColumnFormula>
    </tableColumn>
    <tableColumn id="11" xr3:uid="{594D0EE9-FED9-4144-BB0C-0324CEDE71A5}" uniqueName="11" name="Cota PRIVIGEN" queryTableFieldId="11" dataDxfId="370">
      <calculatedColumnFormula>SUMIFS(Cota_Demanda[Cota-Representante],Cota_Demanda['#FK-Email-Representante],Representantes_ESP[[#This Row],['#PK-Email-Representante-ESP]],Cota_Demanda['#FK-Cod-Linha],K$1)</calculatedColumnFormula>
    </tableColumn>
    <tableColumn id="12" xr3:uid="{A5F05370-FACB-43A2-A753-E2A99D468C28}" uniqueName="12" name="Demanda BERINERT" queryTableFieldId="12" dataDxfId="369">
      <calculatedColumnFormula>SUMIFS(#REF!,#REF!,Representantes_ESP[[#This Row],['#PK-Email-Representante-ESP]],#REF!,L$1)</calculatedColumnFormula>
    </tableColumn>
    <tableColumn id="13" xr3:uid="{19D88646-625D-44C6-93ED-2D13081D290F}" uniqueName="13" name="Demanda BERIPLEX" queryTableFieldId="13" dataDxfId="368">
      <calculatedColumnFormula>SUMIFS(#REF!,#REF!,Representantes_ESP[[#This Row],['#PK-Email-Representante-ESP]],#REF!,M$1)</calculatedColumnFormula>
    </tableColumn>
    <tableColumn id="14" xr3:uid="{E530F15B-0D4A-412C-8B18-074C40353B7F}" uniqueName="14" name="Demanda HAEMO" queryTableFieldId="14" dataDxfId="367">
      <calculatedColumnFormula>SUMIFS(#REF!,#REF!,Representantes_ESP[[#This Row],['#PK-Email-Representante-ESP]],#REF!,N$1)</calculatedColumnFormula>
    </tableColumn>
    <tableColumn id="15" xr3:uid="{FA1CCEF6-AB1B-4DE5-90A4-7806A2CAD1A3}" uniqueName="15" name="Demanda HIZENTRA" queryTableFieldId="15" dataDxfId="366">
      <calculatedColumnFormula>SUMIFS(#REF!,#REF!,Representantes_ESP[[#This Row],['#PK-Email-Representante-ESP]],#REF!,O$1)</calculatedColumnFormula>
    </tableColumn>
    <tableColumn id="16" xr3:uid="{EF65395B-0732-4806-8B82-FA593A878AAF}" uniqueName="16" name="Demanda PRIVIGEN" queryTableFieldId="16" dataDxfId="365">
      <calculatedColumnFormula>SUMIFS(#REF!,#REF!,Representantes_ESP[[#This Row],['#PK-Email-Representante-ESP]],#REF!,P$1)</calculatedColumnFormula>
    </tableColumn>
    <tableColumn id="17" xr3:uid="{AEB5E8AF-52F9-43EF-BF4D-B30FBDDFB415}" uniqueName="17" name="Cobertura BERINERT" queryTableFieldId="17" dataDxfId="364">
      <calculatedColumnFormula>IF(OR(Representantes_ESP[[#This Row],[@-Ativo]]=FALSE,Representantes_ESP[[#This Row],[@-Calculo-IV]]=FALSE),"-",IFERROR(ROUNDUP(Representantes_ESP[[#This Row],[Demanda BERINERT]]/Representantes_ESP[[#This Row],[Cota BERINERT]],3),"Erro"))</calculatedColumnFormula>
    </tableColumn>
    <tableColumn id="18" xr3:uid="{93DF0102-1B0E-428A-9182-4671B3BDEEC4}" uniqueName="18" name="Cobertura BERIPLEX" queryTableFieldId="18" dataDxfId="363"/>
    <tableColumn id="19" xr3:uid="{1D49D590-7BF6-4D0D-8837-A72B5455E1C2}" uniqueName="19" name="Cobertura HAEMO" queryTableFieldId="19" dataDxfId="362"/>
    <tableColumn id="20" xr3:uid="{67899423-8700-4778-B8A3-3571E60AD19C}" uniqueName="20" name="Cobertura HIZENTRA" queryTableFieldId="20" dataDxfId="361">
      <calculatedColumnFormula>IF(OR(Representantes_ESP[[#This Row],[@-Ativo]]=FALSE,Representantes_ESP[[#This Row],[@-Calculo-IV]]=FALSE),"-",IFERROR(ROUNDUP(Representantes_ESP[[#This Row],[Demanda HIZENTRA]]/Representantes_ESP[[#This Row],[Cota HIZENTRA]],3),"Erro"))</calculatedColumnFormula>
    </tableColumn>
    <tableColumn id="21" xr3:uid="{D734A034-085A-4215-B866-2441CE6F9A9F}" uniqueName="21" name="Cobertura PRIVIGEN" queryTableFieldId="21" dataDxfId="360">
      <calculatedColumnFormula>IF(OR(Representantes_ESP[[#This Row],[@-Ativo]]=FALSE,Representantes_ESP[[#This Row],[@-Calculo-IV]]=FALSE),"-",IFERROR(ROUNDUP(Representantes_ESP[[#This Row],[Demanda PRIVIGEN]]/Representantes_ESP[[#This Row],[Cota PRIVIGEN]],3),"Erro"))</calculatedColumnFormula>
    </tableColumn>
    <tableColumn id="22" xr3:uid="{5E59DAA5-CA3F-437C-9682-78EEBC940480}" uniqueName="22" name="Premio BERINERT" queryTableFieldId="22" dataDxfId="359">
      <calculatedColumnFormula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calculatedColumnFormula>
    </tableColumn>
    <tableColumn id="23" xr3:uid="{12DB083D-BB09-4665-89FD-028A35676E4E}" uniqueName="23" name="Premio BERIPLEX" queryTableFieldId="23" dataDxfId="358">
      <calculatedColumnFormula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calculatedColumnFormula>
    </tableColumn>
    <tableColumn id="24" xr3:uid="{24B7D9B5-0E8A-42D9-8814-61A70286B22F}" uniqueName="24" name="Premio HAEMO" queryTableFieldId="24" dataDxfId="357">
      <calculatedColumnFormula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calculatedColumnFormula>
    </tableColumn>
    <tableColumn id="25" xr3:uid="{3B378E92-0C52-4FD6-866C-78544A2649F8}" uniqueName="25" name="Premio HIZENTRA" queryTableFieldId="25" dataDxfId="356">
      <calculatedColumnFormula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calculatedColumnFormula>
    </tableColumn>
    <tableColumn id="26" xr3:uid="{87DD9BA5-D89D-47DF-A88A-F94EC38C043B}" uniqueName="26" name="Premio PRIVIGEN" queryTableFieldId="26" dataDxfId="355">
      <calculatedColumnFormula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calculatedColumnFormula>
    </tableColumn>
    <tableColumn id="31" xr3:uid="{21342E50-7F61-45B9-8030-060A5A84EA65}" uniqueName="31" name="Garatido BERINERT" queryTableFieldId="31" dataDxfId="354">
      <calculatedColumnFormula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calculatedColumnFormula>
    </tableColumn>
    <tableColumn id="30" xr3:uid="{1B592E95-7ED6-47B1-BB9C-003B945B9D19}" uniqueName="30" name="Garantido BERIPLEX" queryTableFieldId="30" dataDxfId="353">
      <calculatedColumnFormula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calculatedColumnFormula>
    </tableColumn>
    <tableColumn id="29" xr3:uid="{084C88C5-0B7F-4259-9DB2-A1D8C9FD5117}" uniqueName="29" name="Garantido HAEMO" queryTableFieldId="29" dataDxfId="352">
      <calculatedColumnFormula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calculatedColumnFormula>
    </tableColumn>
    <tableColumn id="28" xr3:uid="{AA052D43-8D67-4664-B8EC-11A825A07ECB}" uniqueName="28" name="Garantido HIZENTRA" queryTableFieldId="28" dataDxfId="351">
      <calculatedColumnFormula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calculatedColumnFormula>
    </tableColumn>
    <tableColumn id="27" xr3:uid="{73841836-5249-4A60-BA70-A4FE0F60A584}" uniqueName="27" name="Garantido PRIVIGEN" queryTableFieldId="27" dataDxfId="350">
      <calculatedColumnFormula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calculatedColumnFormula>
    </tableColumn>
    <tableColumn id="32" xr3:uid="{25A6EEB5-2B12-4C36-A381-8D6A45B3F083}" uniqueName="32" name="VAZIO" queryTableFieldId="32" dataDxfId="349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0AD8469-5892-4BA9-90A4-DC4F5BC63A67}" name="Representantes_IV" displayName="Representantes_IV" ref="A9:BG28" tableType="queryTable" totalsRowShown="0" headerRowDxfId="325" dataDxfId="324">
  <autoFilter ref="A9:BG28" xr:uid="{C3650015-6A13-40D8-8EEB-402D7DF444B6}"/>
  <sortState xmlns:xlrd2="http://schemas.microsoft.com/office/spreadsheetml/2017/richdata2" ref="A10:BG28">
    <sortCondition descending="1" ref="D10:D28"/>
    <sortCondition descending="1" ref="E10:E28"/>
    <sortCondition descending="1" ref="F10:F28"/>
    <sortCondition ref="A10:A28"/>
  </sortState>
  <tableColumns count="59">
    <tableColumn id="1" xr3:uid="{4CF225E5-54A7-4A79-8096-58826EA0E229}" uniqueName="1" name="#PK-Email-Representante" queryTableFieldId="1" dataDxfId="323"/>
    <tableColumn id="2" xr3:uid="{04610409-EB1E-4D53-B5A4-411FD503B48E}" uniqueName="2" name="Representante" queryTableFieldId="2" dataDxfId="322"/>
    <tableColumn id="3" xr3:uid="{DB470D1D-F199-4427-82E6-C512CBF0F05F}" uniqueName="3" name="@-Calculo-IV" queryTableFieldId="3" dataDxfId="321"/>
    <tableColumn id="4" xr3:uid="{14423E69-D979-42C0-81A8-8B0666164160}" uniqueName="4" name="@-HSP" queryTableFieldId="4" dataDxfId="320"/>
    <tableColumn id="5" xr3:uid="{CBCAD5B2-502D-4B09-B558-158AB3C462A1}" uniqueName="5" name="@-ESP" queryTableFieldId="5" dataDxfId="319"/>
    <tableColumn id="6" xr3:uid="{C9DEF27A-E5BF-46D3-8E0B-B1BF7CD1131D}" uniqueName="6" name="@-EMH" queryTableFieldId="6" dataDxfId="318"/>
    <tableColumn id="7" xr3:uid="{06835D98-99B1-4078-A6E4-BA2409F733B8}" uniqueName="7" name="Check Equipe" queryTableFieldId="7" dataDxfId="317">
      <calculatedColumnFormula>IF(COUNTIF(Representantes_IV[[#This Row],[@-HSP]:[@-EMH]],TRUE)&lt;&gt;1,"Erro","OK")</calculatedColumnFormula>
    </tableColumn>
    <tableColumn id="8" xr3:uid="{F48B0ED3-3E0A-4E8B-A381-29B8A2F8D8DA}" uniqueName="8" name="Demanda BERINERT" queryTableFieldId="8" dataDxfId="316">
      <calculatedColumnFormula>SUMIFS(Demanda_IV_REP[Demanda-IV],Demanda_IV_REP['#FK-Email-Representante],Representantes_IV[[#This Row],['#PK-Email-Representante]],Demanda_IV_REP['#FK-Cod-Linha],H$1)</calculatedColumnFormula>
    </tableColumn>
    <tableColumn id="9" xr3:uid="{B903F340-08C2-4419-B79C-EEA8E67AD194}" uniqueName="9" name="Demanda BERIPLEX" queryTableFieldId="9" dataDxfId="315">
      <calculatedColumnFormula>SUMIFS(Demanda_IV_REP[Demanda-IV],Demanda_IV_REP['#FK-Email-Representante],Representantes_IV[[#This Row],['#PK-Email-Representante]],Demanda_IV_REP['#FK-Cod-Linha],I$1)</calculatedColumnFormula>
    </tableColumn>
    <tableColumn id="10" xr3:uid="{3D6CBB99-D05B-47E5-B6B5-1B423295345E}" uniqueName="10" name="Demanda HAEMO" queryTableFieldId="10" dataDxfId="314">
      <calculatedColumnFormula>SUMIFS(Demanda_IV_REP[Demanda-IV],Demanda_IV_REP['#FK-Email-Representante],Representantes_IV[[#This Row],['#PK-Email-Representante]],Demanda_IV_REP['#FK-Cod-Linha],J$1)</calculatedColumnFormula>
    </tableColumn>
    <tableColumn id="11" xr3:uid="{81E5D45A-DA1E-468B-A013-723C98C2E673}" uniqueName="11" name="Demanda HIZENTRA" queryTableFieldId="11" dataDxfId="313">
      <calculatedColumnFormula>SUMIFS(Demanda_IV_REP[Demanda-IV],Demanda_IV_REP['#FK-Email-Representante],Representantes_IV[[#This Row],['#PK-Email-Representante]],Demanda_IV_REP['#FK-Cod-Linha],K$1)</calculatedColumnFormula>
    </tableColumn>
    <tableColumn id="12" xr3:uid="{4CEA8C12-13BD-4B35-B9A4-81FBF90F77E1}" uniqueName="12" name="Demanda PRIVIGEN" queryTableFieldId="12" dataDxfId="312">
      <calculatedColumnFormula>SUMIFS(Demanda_IV_REP[Demanda-IV],Demanda_IV_REP['#FK-Email-Representante],Representantes_IV[[#This Row],['#PK-Email-Representante]],Demanda_IV_REP['#FK-Cod-Linha],L$1)</calculatedColumnFormula>
    </tableColumn>
    <tableColumn id="13" xr3:uid="{4BF35F80-4864-46A0-A34F-79AA1D63BBE1}" uniqueName="13" name="Cota BERINERT" queryTableFieldId="13" dataDxfId="311">
      <calculatedColumnFormula>SUMIFS(Cota_Demanda[Cota-Representante],Cota_Demanda['#FK-Email-Representante],Representantes_IV[[#This Row],['#PK-Email-Representante]],Cota_Demanda['#FK-Cod-Linha],M$1)</calculatedColumnFormula>
    </tableColumn>
    <tableColumn id="14" xr3:uid="{221641D6-5D1D-42E1-99A5-D20DFE9F8589}" uniqueName="14" name="Cota BERIPLEX" queryTableFieldId="14" dataDxfId="310">
      <calculatedColumnFormula>SUMIFS(Cota_Demanda[Cota-Representante],Cota_Demanda['#FK-Email-Representante],Representantes_IV[[#This Row],['#PK-Email-Representante]],Cota_Demanda['#FK-Cod-Linha],N$1)</calculatedColumnFormula>
    </tableColumn>
    <tableColumn id="15" xr3:uid="{1AC46D7D-76DF-42B7-BF4C-2EC74BC40ECD}" uniqueName="15" name="Cota HAEMO" queryTableFieldId="15" dataDxfId="309">
      <calculatedColumnFormula>SUMIFS(Cota_Demanda[Cota-Representante],Cota_Demanda['#FK-Email-Representante],Representantes_IV[[#This Row],['#PK-Email-Representante]],Cota_Demanda['#FK-Cod-Linha],O$1)</calculatedColumnFormula>
    </tableColumn>
    <tableColumn id="16" xr3:uid="{C8D5E97E-5C4B-4612-8C50-8F0B7D9CC467}" uniqueName="16" name="Cota HIZENTRA" queryTableFieldId="16" dataDxfId="308">
      <calculatedColumnFormula>SUMIFS(Cota_Demanda[Cota-Representante],Cota_Demanda['#FK-Email-Representante],Representantes_IV[[#This Row],['#PK-Email-Representante]],Cota_Demanda['#FK-Cod-Linha],P$1)</calculatedColumnFormula>
    </tableColumn>
    <tableColumn id="17" xr3:uid="{6DF7A415-AB5D-499E-A0FF-A2F74FF49094}" uniqueName="17" name="Cota PRIVIGEN" queryTableFieldId="17" dataDxfId="307">
      <calculatedColumnFormula>SUMIFS(Cota_Demanda[Cota-Representante],Cota_Demanda['#FK-Email-Representante],Representantes_IV[[#This Row],['#PK-Email-Representante]],Cota_Demanda['#FK-Cod-Linha],Q$1)</calculatedColumnFormula>
    </tableColumn>
    <tableColumn id="18" xr3:uid="{EAD51D64-965B-439E-9133-BF37F1C23D95}" uniqueName="18" name="Cobertura BERINERT" queryTableFieldId="18" dataDxfId="306">
      <calculatedColumnFormula>IF(Representantes_IV[[#This Row],[Cota BERINERT]]=0,"-",ROUNDUP(Representantes_IV[[#This Row],[Demanda BERINERT]]/Representantes_IV[[#This Row],[Cota BERINERT]],3))</calculatedColumnFormula>
    </tableColumn>
    <tableColumn id="19" xr3:uid="{D84A2632-34D9-4A13-94DB-3CB39645A53D}" uniqueName="19" name="Cobertura BERIPLEX" queryTableFieldId="19" dataDxfId="305">
      <calculatedColumnFormula>IF(Representantes_IV[[#This Row],[Cota BERIPLEX]]=0,"-",ROUNDUP(Representantes_IV[[#This Row],[Demanda BERIPLEX]]/Representantes_IV[[#This Row],[Cota BERIPLEX]],3))</calculatedColumnFormula>
    </tableColumn>
    <tableColumn id="20" xr3:uid="{BFD2BCC4-7A50-4169-8759-8D4D2109C117}" uniqueName="20" name="Cobertura HAEMO" queryTableFieldId="20" dataDxfId="304">
      <calculatedColumnFormula>IF(Representantes_IV[[#This Row],[Cota HAEMO]]=0,"-",ROUNDUP(Representantes_IV[[#This Row],[Demanda HAEMO]]/Representantes_IV[[#This Row],[Cota HAEMO]],3))</calculatedColumnFormula>
    </tableColumn>
    <tableColumn id="21" xr3:uid="{288C8BD9-B092-4D80-8CCC-9EA7398271CE}" uniqueName="21" name="Cobertura HIZENTRA" queryTableFieldId="21" dataDxfId="303">
      <calculatedColumnFormula>IF(Representantes_IV[[#This Row],[Cota HIZENTRA]]=0,"-",ROUNDUP(Representantes_IV[[#This Row],[Demanda HIZENTRA]]/Representantes_IV[[#This Row],[Cota HIZENTRA]],3))</calculatedColumnFormula>
    </tableColumn>
    <tableColumn id="22" xr3:uid="{8F4E3A4E-A798-4156-BA1B-24E64E19124B}" uniqueName="22" name="Cobertura PRIVIGEN" queryTableFieldId="22" dataDxfId="302">
      <calculatedColumnFormula>IF(Representantes_IV[[#This Row],[Cota PRIVIGEN]]=0,"-",ROUNDUP(Representantes_IV[[#This Row],[Demanda PRIVIGEN]]/Representantes_IV[[#This Row],[Cota PRIVIGEN]],3))</calculatedColumnFormula>
    </tableColumn>
    <tableColumn id="23" xr3:uid="{BAAF8C82-3C4F-4F3D-83FA-3CC49B759F7F}" uniqueName="23" name="Valor BERINERT" queryTableFieldId="23" dataDxfId="301">
      <calculatedColumnFormula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calculatedColumnFormula>
    </tableColumn>
    <tableColumn id="24" xr3:uid="{1892344B-9A61-4C30-BBF3-D7804C33D740}" uniqueName="24" name="Valor BERIPLEX" queryTableFieldId="24" dataDxfId="300">
      <calculatedColumnFormula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calculatedColumnFormula>
    </tableColumn>
    <tableColumn id="25" xr3:uid="{B5864DE3-8D89-4EA8-96B9-38267C0DD0F6}" uniqueName="25" name="Valor HAEMO" queryTableFieldId="25" dataDxfId="299">
      <calculatedColumnFormula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calculatedColumnFormula>
    </tableColumn>
    <tableColumn id="26" xr3:uid="{4D6F8560-8163-41D4-94B4-F723B11CC575}" uniqueName="26" name="Valor HIZENTRA" queryTableFieldId="26" dataDxfId="298">
      <calculatedColumnFormula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calculatedColumnFormula>
    </tableColumn>
    <tableColumn id="27" xr3:uid="{B97136F5-D3A8-4724-9947-63D7B70DA64C}" uniqueName="27" name="Valor PRIVIGEN" queryTableFieldId="27" dataDxfId="297">
      <calculatedColumnFormula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calculatedColumnFormula>
    </tableColumn>
    <tableColumn id="28" xr3:uid="{778AEFDD-2407-421B-9A1D-57A28DD7AE08}" uniqueName="28" name="%-Garatido BERINERT" queryTableFieldId="28" dataDxfId="296">
      <calculatedColumnFormula>SUMIFS(Cota_Demanda[%-Garantido],Cota_Demanda['#FK-Email-Representante],Representantes_IV[[#This Row],['#PK-Email-Representante]],Cota_Demanda['#FK-Cod-Linha],AB$1)</calculatedColumnFormula>
    </tableColumn>
    <tableColumn id="29" xr3:uid="{980F0AC7-C8B9-4CB5-922A-20457B13F4DA}" uniqueName="29" name="%-Garantido BERIPLEX" queryTableFieldId="29" dataDxfId="295">
      <calculatedColumnFormula>SUMIFS(Cota_Demanda[%-Garantido],Cota_Demanda['#FK-Email-Representante],Representantes_IV[[#This Row],['#PK-Email-Representante]],Cota_Demanda['#FK-Cod-Linha],AC$1)</calculatedColumnFormula>
    </tableColumn>
    <tableColumn id="30" xr3:uid="{5BD44E2F-BC7F-4414-9763-54C692B6116A}" uniqueName="30" name="%-Garantido HAEMO" queryTableFieldId="30" dataDxfId="294">
      <calculatedColumnFormula>SUMIFS(Cota_Demanda[%-Garantido],Cota_Demanda['#FK-Email-Representante],Representantes_IV[[#This Row],['#PK-Email-Representante]],Cota_Demanda['#FK-Cod-Linha],AD$1)</calculatedColumnFormula>
    </tableColumn>
    <tableColumn id="31" xr3:uid="{AD6F3910-5AD2-46E5-977C-ECE4765680FA}" uniqueName="31" name="%-Garantido HIZENTRA" queryTableFieldId="31" dataDxfId="293">
      <calculatedColumnFormula>SUMIFS(Cota_Demanda[%-Garantido],Cota_Demanda['#FK-Email-Representante],Representantes_IV[[#This Row],['#PK-Email-Representante]],Cota_Demanda['#FK-Cod-Linha],AE$1)</calculatedColumnFormula>
    </tableColumn>
    <tableColumn id="32" xr3:uid="{7B7917F5-15A4-4271-BFCB-51461E8AC724}" uniqueName="32" name="%-Garantido PRIVIGEN" queryTableFieldId="32" dataDxfId="292">
      <calculatedColumnFormula>SUMIFS(Cota_Demanda[%-Garantido],Cota_Demanda['#FK-Email-Representante],Representantes_IV[[#This Row],['#PK-Email-Representante]],Cota_Demanda['#FK-Cod-Linha],AF$1)</calculatedColumnFormula>
    </tableColumn>
    <tableColumn id="33" xr3:uid="{B4A40747-A3E2-4D7E-9B7B-4150E09EC0CA}" uniqueName="33" name="Garatido BERINERT" queryTableFieldId="33" dataDxfId="291">
      <calculatedColumnFormula>IF(Representantes_IV[[#This Row],[%-Garatido BERINERT]]=1,(IF(Representantes_IV[[#This Row],[@-HSP]]=TRUE,AG$2,IF(Representantes_IV[[#This Row],[@-ESP]]=TRUE,AG$3,IF(Representantes_IV[[#This Row],[@-EMH]]=TRUE,AG$4)))),0)</calculatedColumnFormula>
    </tableColumn>
    <tableColumn id="34" xr3:uid="{4272BCE8-28D8-4CAC-84D7-F4989AB69CA8}" uniqueName="34" name="Garantido BERIPLEX" queryTableFieldId="34" dataDxfId="290">
      <calculatedColumnFormula>IF(Representantes_IV[[#This Row],[%-Garantido BERIPLEX]]=1,(IF(Representantes_IV[[#This Row],[@-HSP]]=TRUE,AH$2,IF(Representantes_IV[[#This Row],[@-ESP]]=TRUE,AH$3,IF(Representantes_IV[[#This Row],[@-EMH]]=TRUE,AH$4)))),0)</calculatedColumnFormula>
    </tableColumn>
    <tableColumn id="35" xr3:uid="{88986AF3-932C-475F-8108-FC76B62D1B68}" uniqueName="35" name="Garantido HAEMO" queryTableFieldId="35" dataDxfId="289">
      <calculatedColumnFormula>IF(Representantes_IV[[#This Row],[%-Garantido HAEMO]]=1,(IF(Representantes_IV[[#This Row],[@-HSP]]=TRUE,AI$2,IF(Representantes_IV[[#This Row],[@-ESP]]=TRUE,AI$3,IF(Representantes_IV[[#This Row],[@-EMH]]=TRUE,AI$4)))),0)</calculatedColumnFormula>
    </tableColumn>
    <tableColumn id="36" xr3:uid="{55592E12-AB8B-4C84-9A02-72C9CE4A3CC0}" uniqueName="36" name="Garantido HIZENTRA" queryTableFieldId="36" dataDxfId="288">
      <calculatedColumnFormula>IF(Representantes_IV[[#This Row],[%-Garantido HIZENTRA]]=1,(IF(Representantes_IV[[#This Row],[@-HSP]]=TRUE,AJ$2,IF(Representantes_IV[[#This Row],[@-ESP]]=TRUE,AJ$3,IF(Representantes_IV[[#This Row],[@-EMH]]=TRUE,AJ$4)))),0)</calculatedColumnFormula>
    </tableColumn>
    <tableColumn id="37" xr3:uid="{14296644-5299-45DF-AA99-1359AB65BCEF}" uniqueName="37" name="Garantido PRIVIGEN" queryTableFieldId="37" dataDxfId="287">
      <calculatedColumnFormula>IF(Representantes_IV[[#This Row],[%-Garantido PRIVIGEN]]=1,(IF(Representantes_IV[[#This Row],[@-HSP]]=TRUE,AK$2,IF(Representantes_IV[[#This Row],[@-ESP]]=TRUE,AK$3,IF(Representantes_IV[[#This Row],[@-EMH]]=TRUE,AK$4)))),0)</calculatedColumnFormula>
    </tableColumn>
    <tableColumn id="38" xr3:uid="{86D60883-49F3-47D6-B6F6-A37B6E8BE1D6}" uniqueName="38" name="Premio BERINERT" queryTableFieldId="38" dataDxfId="286">
      <calculatedColumnFormula>IF(Representantes_IV[[#This Row],[Garatido BERINERT]]&gt;Representantes_IV[[#This Row],[Valor BERINERT]],Representantes_IV[[#This Row],[Garatido BERINERT]],Representantes_IV[[#This Row],[Valor BERINERT]])</calculatedColumnFormula>
    </tableColumn>
    <tableColumn id="39" xr3:uid="{1CCE7A4C-CA9F-4CF6-A8C8-163D55489CA9}" uniqueName="39" name="Premio BERIPLEX" queryTableFieldId="39" dataDxfId="285">
      <calculatedColumnFormula>IF(Representantes_IV[[#This Row],[Garantido BERIPLEX]]&gt;Representantes_IV[[#This Row],[Valor BERIPLEX]],Representantes_IV[[#This Row],[Garantido BERIPLEX]],Representantes_IV[[#This Row],[Valor BERIPLEX]])</calculatedColumnFormula>
    </tableColumn>
    <tableColumn id="40" xr3:uid="{6987DE0E-FD50-444D-8587-CAE65E329126}" uniqueName="40" name="Premio HAEMO" queryTableFieldId="40" dataDxfId="284">
      <calculatedColumnFormula>IF(Representantes_IV[[#This Row],[Garantido HAEMO]]&gt;Representantes_IV[[#This Row],[Valor HAEMO]],Representantes_IV[[#This Row],[Garantido HAEMO]],Representantes_IV[[#This Row],[Valor HAEMO]])</calculatedColumnFormula>
    </tableColumn>
    <tableColumn id="41" xr3:uid="{71A7615C-41CD-4B20-836E-31138CB25AF3}" uniqueName="41" name="Premio HIZENTRA" queryTableFieldId="41" dataDxfId="283">
      <calculatedColumnFormula>IF(Representantes_IV[[#This Row],[Garantido HIZENTRA]]&gt;Representantes_IV[[#This Row],[Valor HIZENTRA]],Representantes_IV[[#This Row],[Garantido HIZENTRA]],Representantes_IV[[#This Row],[Valor HIZENTRA]])</calculatedColumnFormula>
    </tableColumn>
    <tableColumn id="42" xr3:uid="{F0A21E3F-BD66-47E8-BD90-ADA0D9B4B179}" uniqueName="42" name="Premio PRIVIGEN" queryTableFieldId="42" dataDxfId="282">
      <calculatedColumnFormula>IF(Representantes_IV[[#This Row],[Garantido PRIVIGEN]]&gt;Representantes_IV[[#This Row],[Valor PRIVIGEN]],Representantes_IV[[#This Row],[Garantido PRIVIGEN]],Representantes_IV[[#This Row],[Valor PRIVIGEN]])</calculatedColumnFormula>
    </tableColumn>
    <tableColumn id="43" xr3:uid="{AAF2983B-554C-4197-AE8A-02DEF938149B}" uniqueName="43" name="Cota Venda" queryTableFieldId="43" dataDxfId="281">
      <calculatedColumnFormula>SUM(Cota_Venda[Cota-Venda])</calculatedColumnFormula>
    </tableColumn>
    <tableColumn id="44" xr3:uid="{7CC9BF91-6380-4413-A128-9AFDFA807650}" uniqueName="44" name="Venda" queryTableFieldId="44" dataDxfId="280">
      <calculatedColumnFormula>SUMIFS(Venda[Venda-IV],Venda[@-Ministerio],FALSE)</calculatedColumnFormula>
    </tableColumn>
    <tableColumn id="45" xr3:uid="{C72E419A-B688-44F6-96EC-6C98F2508730}" uniqueName="45" name="Cobertura Venda" queryTableFieldId="45" dataDxfId="279">
      <calculatedColumnFormula>ROUNDUP(IFERROR(Representantes_IV[[#This Row],[Venda]]/Representantes_IV[[#This Row],[Cota Venda]],0),3)</calculatedColumnFormula>
    </tableColumn>
    <tableColumn id="46" xr3:uid="{483E7B36-5235-4877-A704-DCE0533CF866}" uniqueName="46" name="Premio Venda" queryTableFieldId="46" dataDxfId="278">
      <calculatedColumnFormula>VLOOKUP(Representantes_IV[[#This Row],[Cobertura Venda]],Valores_Representantes_ESP[],AT$1,1)</calculatedColumnFormula>
    </tableColumn>
    <tableColumn id="47" xr3:uid="{A0113DCF-AEC3-4476-8A98-13B5FF0365DC}" uniqueName="47" name="Meta Visitas" queryTableFieldId="47" dataDxfId="277">
      <calculatedColumnFormula>SUMIFS(Visitas_Outros[Visitas-Meta],Visitas_Outros['#FK-Email-Representante],Representantes_IV[[#This Row],['#PK-Email-Representante]])</calculatedColumnFormula>
    </tableColumn>
    <tableColumn id="48" xr3:uid="{5F98E398-67FD-4F89-A93B-608109D45982}" uniqueName="48" name="Visitas" queryTableFieldId="48" dataDxfId="276">
      <calculatedColumnFormula>SUMIFS(Visitas_Outros[Visitas-Realizadas],Visitas_Outros['#FK-Email-Representante],Representantes_IV[[#This Row],['#PK-Email-Representante]])</calculatedColumnFormula>
    </tableColumn>
    <tableColumn id="49" xr3:uid="{3E4083A8-F3B8-471E-A981-6CD787DF5B14}" uniqueName="49" name="Cobertura Visitas" queryTableFieldId="49" dataDxfId="275">
      <calculatedColumnFormula>ROUNDUP(IFERROR(Representantes_IV[[#This Row],[Visitas]]/Representantes_IV[[#This Row],[Meta Visitas]],0),3)</calculatedColumnFormula>
    </tableColumn>
    <tableColumn id="50" xr3:uid="{5786B262-5FB9-4DBB-A8D2-05308ADA34D1}" uniqueName="50" name="Premio Visitas" queryTableFieldId="50" dataDxfId="274">
      <calculatedColumnFormula>IF(Representantes_IV[[#This Row],[Cobertura Visitas]]&lt;Cobertura_Minima_REP,0,VLOOKUP(Representantes_IV[[#This Row],[Cobertura Visitas]],Valores_Representantes_ESP[],AX$1,1))</calculatedColumnFormula>
    </tableColumn>
    <tableColumn id="51" xr3:uid="{74EDD9A4-0F6E-4F37-95C3-84349AF028E1}" uniqueName="51" name="Cobertura Connect Mind" queryTableFieldId="51" dataDxfId="273">
      <calculatedColumnFormula>SUMIFS(Visitas_Outros[%Realizado-Connect-Mind],Visitas_Outros['#FK-Email-Representante],Representantes_IV[[#This Row],['#PK-Email-Representante]])</calculatedColumnFormula>
    </tableColumn>
    <tableColumn id="56" xr3:uid="{DCCC58B9-27A2-41BF-9288-560033F154C4}" uniqueName="56" name="Premio Connect Mind" queryTableFieldId="55" dataDxfId="272">
      <calculatedColumnFormula>IF(Representantes_IV[[#This Row],[Cobertura Connect Mind]]&lt;Cobertura_Minima_REP,0,VLOOKUP(Representantes_IV[[#This Row],[Cobertura Connect Mind]],Valores_Representantes_ESP[],AZ$1,1))</calculatedColumnFormula>
    </tableColumn>
    <tableColumn id="53" xr3:uid="{ECF67476-0866-4F84-8809-6D0B512CF4F6}" uniqueName="53" name="Cobertura Gerente Conta" queryTableFieldId="52" dataDxfId="271">
      <calculatedColumnFormula>SUMIFS(Visitas_Outros[%Realizado-Aval-GR],Visitas_Outros['#FK-Email-Representante],Representantes_IV[[#This Row],['#PK-Email-Representante]])</calculatedColumnFormula>
    </tableColumn>
    <tableColumn id="57" xr3:uid="{E0FA6138-2EE4-410D-9577-7AA21E9E1D72}" uniqueName="57" name="Premio Gerente Conta" queryTableFieldId="56" dataDxfId="270">
      <calculatedColumnFormula>IF(Representantes_IV[[#This Row],[Cobertura Gerente Conta]]&lt;Cobertura_Minima_REP,0,VLOOKUP(Representantes_IV[[#This Row],[Cobertura Gerente Conta]],Valores_Representantes_ESP[],BB$1,1))</calculatedColumnFormula>
    </tableColumn>
    <tableColumn id="54" xr3:uid="{0CE1779B-361F-4AFB-854A-C60BE95F5CD7}" uniqueName="54" name="Cobertura Plateau" queryTableFieldId="53" dataDxfId="269">
      <calculatedColumnFormula>SUMIFS(Visitas_Outros[%Realizado-Plateau],Visitas_Outros['#FK-Email-Representante],Representantes_IV[[#This Row],['#PK-Email-Representante]])</calculatedColumnFormula>
    </tableColumn>
    <tableColumn id="58" xr3:uid="{C3B46BDF-0FD0-4479-8C63-772CABF7CE9C}" uniqueName="58" name="Premio Plateau" queryTableFieldId="57" dataDxfId="268">
      <calculatedColumnFormula>IF(Representantes_IV[[#This Row],[Cobertura Plateau]]&lt;Cobertura_Minima_REP,0,VLOOKUP(Representantes_IV[[#This Row],[Cobertura Plateau]],Valores_Representantes_ESP[],BD$1,1))</calculatedColumnFormula>
    </tableColumn>
    <tableColumn id="55" xr3:uid="{5DF0C695-1D35-407C-910F-14E47DA78312}" uniqueName="55" name="Cobertura Compliance" queryTableFieldId="54" dataDxfId="267">
      <calculatedColumnFormula>SUMIFS(Visitas_Outros[%Realizado-Compliance],Visitas_Outros['#FK-Email-Representante],Representantes_IV[[#This Row],['#PK-Email-Representante]])</calculatedColumnFormula>
    </tableColumn>
    <tableColumn id="59" xr3:uid="{DC5C72DE-B64A-492F-AB42-2894E3DAEBDC}" uniqueName="59" name="Premio Compliance" queryTableFieldId="58" dataDxfId="266">
      <calculatedColumnFormula>IF(Representantes_IV[[#This Row],[Cobertura Compliance]]&lt;Cobertura_Minima_REP,0,VLOOKUP(Representantes_IV[[#This Row],[Cobertura Compliance]],Valores_Representantes_ESP[],BF$1,1))</calculatedColumnFormula>
    </tableColumn>
    <tableColumn id="60" xr3:uid="{6C88E3F2-E44E-463C-9755-04E1C96EC47B}" uniqueName="60" name="Premio Total" queryTableFieldId="59" dataDxfId="265">
      <calculatedColumnFormula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calculatedColumnFormula>
    </tableColumn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FE40D8-3CFF-4AEB-9F78-1FAE27224A16}" name="Datas" displayName="Datas" ref="A5:J6" tableType="queryTable" totalsRowShown="0" dataDxfId="177">
  <autoFilter ref="A5:J6" xr:uid="{11C0E01D-614D-436C-9D93-C0CE93081B97}"/>
  <tableColumns count="10">
    <tableColumn id="1" xr3:uid="{FF0DA3A4-57C6-4409-87E7-41E04320945F}" uniqueName="1" name="#PK-AnoMes-Unv" queryTableFieldId="1" dataDxfId="176"/>
    <tableColumn id="2" xr3:uid="{E52A74B0-978B-433A-B5F2-299BA0529CD5}" uniqueName="2" name="#Idx-Ano-Unv" queryTableFieldId="2" dataDxfId="175"/>
    <tableColumn id="3" xr3:uid="{E32F4BA8-3273-4034-BDA2-6C99EE761E8F}" uniqueName="3" name="#Idx-Mes-Unv" queryTableFieldId="3" dataDxfId="174"/>
    <tableColumn id="4" xr3:uid="{474766B2-003F-4B96-A3B7-A0BC76A8F2AD}" uniqueName="4" name="#Idx-Ano-Fiscal" queryTableFieldId="4" dataDxfId="173"/>
    <tableColumn id="5" xr3:uid="{811FA64E-0393-4201-B208-CBA7B2EE61BD}" uniqueName="5" name="#Idx-Tri-Fiscal" queryTableFieldId="5" dataDxfId="172"/>
    <tableColumn id="6" xr3:uid="{F5194B67-F221-49B9-824D-756E7C34F83F}" uniqueName="6" name="#Idx-Mes-Fiscal" queryTableFieldId="6" dataDxfId="171"/>
    <tableColumn id="7" xr3:uid="{03877165-67B0-4AC9-B6E9-A47DDDDE39D7}" uniqueName="7" name="Ano-Fiscal" queryTableFieldId="7" dataDxfId="170"/>
    <tableColumn id="8" xr3:uid="{695FCD98-83C7-4367-989F-4604B8F7CEDE}" uniqueName="8" name="Tri-Fiscal" queryTableFieldId="8" dataDxfId="169"/>
    <tableColumn id="9" xr3:uid="{07232F65-5D47-43A4-BAAB-F240A6E7D22D}" uniqueName="9" name="AnoMes-Fiscal" queryTableFieldId="9" dataDxfId="168"/>
    <tableColumn id="10" xr3:uid="{97864404-E193-4FD4-8F4A-CF0F5A83D9B5}" uniqueName="10" name="Mes-Fiscal" queryTableFieldId="10" dataDxfId="167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A1B50F5-0E35-432A-AD0A-AAB1BFEE2F9A}" name="Produtos_Linhas" displayName="Produtos_Linhas" ref="A5:J22" tableType="queryTable" totalsRowShown="0">
  <autoFilter ref="A5:J22" xr:uid="{7F11F05C-15D0-490C-83A4-48A349C0FBCA}"/>
  <tableColumns count="10">
    <tableColumn id="1" xr3:uid="{95792D11-EE46-4DA3-8050-41A396A9CF4B}" uniqueName="1" name="#PK-Cod-Linha" queryTableFieldId="1" dataDxfId="166"/>
    <tableColumn id="2" xr3:uid="{462A614A-879B-45B4-83C0-5BAB7E1EAAD9}" uniqueName="2" name="Linha" queryTableFieldId="2" dataDxfId="165"/>
    <tableColumn id="3" xr3:uid="{71BADB11-67C6-4E2B-9A78-6CCB5649235E}" uniqueName="3" name="Grupo-IV-Representante" queryTableFieldId="3" dataDxfId="164"/>
    <tableColumn id="4" xr3:uid="{7D3275C1-14AB-4FCA-98D4-2FAC5CBFED55}" uniqueName="4" name="Grupo-IV-Gerente" queryTableFieldId="4" dataDxfId="163"/>
    <tableColumn id="5" xr3:uid="{66DF7DDA-07D9-4560-8F6A-D82D780FADED}" uniqueName="5" name="@-IV-Venda" queryTableFieldId="5"/>
    <tableColumn id="6" xr3:uid="{F528406D-82C5-4C33-817E-659317BC8805}" uniqueName="6" name="@-IV-Demanda" queryTableFieldId="6"/>
    <tableColumn id="7" xr3:uid="{45CA2DCE-6683-4EBB-9987-E27D22A60213}" uniqueName="7" name="@-ESP" queryTableFieldId="7"/>
    <tableColumn id="8" xr3:uid="{87B0F23F-6973-4FFA-9C5C-3D5B47A97723}" uniqueName="8" name="@-HSP" queryTableFieldId="8"/>
    <tableColumn id="9" xr3:uid="{E204C634-9719-4294-A2D9-4EC6C3ABBA08}" uniqueName="9" name="@-EMH" queryTableFieldId="9"/>
    <tableColumn id="10" xr3:uid="{64F7B8DD-D1AA-40EB-8BF4-5B7814E08C2F}" uniqueName="10" name="@-Analisar" queryTableFieldId="10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61FDB92-58DC-4524-9F6F-EAEDCC5EB324}" name="Cota_Demanda" displayName="Cota_Demanda" ref="A5:O69" tableType="queryTable" totalsRowShown="0" headerRowDxfId="158" dataDxfId="157">
  <autoFilter ref="A5:O69" xr:uid="{614D756F-F4EB-467F-983F-AFB8CE59DAF7}">
    <filterColumn colId="8">
      <filters>
        <filter val="VERDADEIRO"/>
      </filters>
    </filterColumn>
  </autoFilter>
  <tableColumns count="15">
    <tableColumn id="1" xr3:uid="{49B06FC1-A96F-4B70-A6A1-3789F954E0C1}" uniqueName="1" name="#FK-AnoMes-Unv" queryTableFieldId="1" dataDxfId="156"/>
    <tableColumn id="2" xr3:uid="{C5431FB6-CCD2-4BB4-A57D-B3EE69F34762}" uniqueName="2" name="#FK-Cod-Linha" queryTableFieldId="2" dataDxfId="155"/>
    <tableColumn id="3" xr3:uid="{0B6BF9E4-98ED-4AF1-9734-BECBA08F7260}" uniqueName="3" name="#FK-Email-Gerente" queryTableFieldId="3" dataDxfId="154"/>
    <tableColumn id="4" xr3:uid="{560A4E1D-6325-4F45-9ED9-796FC565184E}" uniqueName="4" name="#FK-Email-Representante" queryTableFieldId="4" dataDxfId="153"/>
    <tableColumn id="5" xr3:uid="{1466A13D-7736-4889-88EA-887BEF1F7937}" uniqueName="5" name="#FK-Email-Representante_ESP" queryTableFieldId="5" dataDxfId="152"/>
    <tableColumn id="6" xr3:uid="{A7F13A39-57E2-4E54-AAA6-FEF00BE58941}" uniqueName="6" name="#FK-Email-Representante_HSP" queryTableFieldId="6" dataDxfId="151"/>
    <tableColumn id="7" xr3:uid="{751F7F2E-ED39-4C48-896F-E717E6A794B6}" uniqueName="7" name="#FK-Email-Representante_EMH" queryTableFieldId="7" dataDxfId="150"/>
    <tableColumn id="8" xr3:uid="{97F25AE8-8C79-4EA9-9A16-0CE6DEAE1FB6}" uniqueName="8" name="@-ESP" queryTableFieldId="8" dataDxfId="149"/>
    <tableColumn id="9" xr3:uid="{6BE7E793-EF6A-47A2-A6C6-234196D6C4E1}" uniqueName="9" name="@-HSP" queryTableFieldId="9" dataDxfId="148"/>
    <tableColumn id="10" xr3:uid="{FE2C4059-4E3E-43B5-9A04-C2863193C654}" uniqueName="10" name="@-EMH" queryTableFieldId="10" dataDxfId="147"/>
    <tableColumn id="11" xr3:uid="{40B413B0-9E37-43BE-867C-D3AFCCE55145}" uniqueName="11" name="@-Garantido" queryTableFieldId="11" dataDxfId="146"/>
    <tableColumn id="12" xr3:uid="{0DF566DE-BF9B-4E83-A909-E6A82E847F59}" uniqueName="12" name="@-IV-Demanda" queryTableFieldId="12" dataDxfId="145"/>
    <tableColumn id="13" xr3:uid="{A00CBEC8-A455-47DB-B020-3F6189609FE7}" uniqueName="13" name="Cota-Representante" queryTableFieldId="13" dataDxfId="144"/>
    <tableColumn id="14" xr3:uid="{926113CF-86BE-452C-AD57-77407C34AEF2}" uniqueName="14" name="Cota-Gerente" queryTableFieldId="14" dataDxfId="143"/>
    <tableColumn id="15" xr3:uid="{EDDCE02F-E0C1-422A-A402-0F890590A116}" uniqueName="15" name="%-Garantido" queryTableFieldId="15" dataDxfId="142">
      <calculatedColumnFormula>IF(Cota_Demanda[[#This Row],[@-Garantido]]=TRUE,1,0)</calculatedColumnFormula>
    </tableColumn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0FE0ABE-79D7-4169-B575-90F2C45FEE56}" name="Demanda_IV_REP" displayName="Demanda_IV_REP" ref="A5:G281" tableType="queryTable" totalsRowShown="0" headerRowDxfId="139" dataDxfId="138">
  <autoFilter ref="A5:G281" xr:uid="{5BF211A8-562F-44D0-AB17-7E54E500F86F}"/>
  <tableColumns count="7">
    <tableColumn id="1" xr3:uid="{D1FBE494-42E2-4848-A432-635C8896B0A3}" uniqueName="1" name="#FK-AnoMes-Unv" queryTableFieldId="1" dataDxfId="137"/>
    <tableColumn id="2" xr3:uid="{AF2B244F-BB5C-4778-B71D-4A681CAFFC44}" uniqueName="2" name="#FK-Email-Representante" queryTableFieldId="2" dataDxfId="136"/>
    <tableColumn id="3" xr3:uid="{A8BD55A0-B095-450A-A07F-79C2A747FE03}" uniqueName="3" name="#FK-Cod-Linha" queryTableFieldId="3" dataDxfId="135"/>
    <tableColumn id="4" xr3:uid="{55EA13CA-4F90-4B97-8B41-928DE5A25E43}" uniqueName="4" name="@-ESP" queryTableFieldId="4" dataDxfId="134"/>
    <tableColumn id="5" xr3:uid="{CB1F5F6A-D14B-4324-94EF-BBA24A9BC318}" uniqueName="5" name="@-HSP" queryTableFieldId="5" dataDxfId="133"/>
    <tableColumn id="6" xr3:uid="{1856C981-2FC1-437D-B9F6-2F7E06943A29}" uniqueName="6" name="@-EMH" queryTableFieldId="6" dataDxfId="132"/>
    <tableColumn id="7" xr3:uid="{43DB090E-3483-493C-81F6-8381D431284E}" uniqueName="7" name="Demanda-IV" queryTableFieldId="7" dataDxfId="131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C51B6FF-A574-4DDF-A6C7-B10132C8B5CC}" name="Demanda_IV_GR" displayName="Demanda_IV_GR" ref="A5:D47" tableType="queryTable" totalsRowShown="0" headerRowDxfId="130" dataDxfId="129">
  <autoFilter ref="A5:D47" xr:uid="{B8C5B91B-0E4A-467C-9DAD-7D98354D5C03}"/>
  <tableColumns count="4">
    <tableColumn id="1" xr3:uid="{3289D5E2-AE39-4E99-9F7E-B5B905A6C913}" uniqueName="1" name="#FK-AnoMes-Unv" queryTableFieldId="1" dataDxfId="128"/>
    <tableColumn id="2" xr3:uid="{24F0F7EF-5AC8-41FD-92B8-103846557B08}" uniqueName="2" name="#FK-Cod-Linha" queryTableFieldId="2" dataDxfId="127"/>
    <tableColumn id="3" xr3:uid="{FAE39013-F84A-4DA2-AA77-5C3D74E1686B}" uniqueName="3" name="#FK-Email-Gerente" queryTableFieldId="3" dataDxfId="126"/>
    <tableColumn id="4" xr3:uid="{CA8EF24E-657A-4699-A54E-B9C8CC8AEDD6}" uniqueName="4" name="Demanda-IV" queryTableFieldId="4" dataDxfId="125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367DAF2-88FA-477A-8157-BBDF9818C406}" name="Cota_Venda" displayName="Cota_Venda" ref="A5:H287" tableType="queryTable" totalsRowShown="0">
  <autoFilter ref="A5:H287" xr:uid="{00F37590-A24A-4061-9C36-8890DE7AE36D}"/>
  <tableColumns count="8">
    <tableColumn id="1" xr3:uid="{0D212820-4AAF-4286-91B2-609236180083}" uniqueName="1" name="#FK-AnoMes-Unv" queryTableFieldId="1" dataDxfId="122"/>
    <tableColumn id="2" xr3:uid="{5383406A-CA07-4D6F-94B9-EA2F317352AA}" uniqueName="2" name="#FK-Cod-Linha" queryTableFieldId="2" dataDxfId="121"/>
    <tableColumn id="3" xr3:uid="{BC9B22A5-A95E-45C8-8C3E-E27D4A1FEF82}" uniqueName="3" name="#FK-Cod-Produto" queryTableFieldId="3" dataDxfId="120"/>
    <tableColumn id="4" xr3:uid="{E1A9FE98-D2D1-4E0E-A3DA-55AC805E9478}" uniqueName="4" name="#FK-Email-Gerente" queryTableFieldId="4" dataDxfId="119"/>
    <tableColumn id="5" xr3:uid="{CCDA33E5-4EC4-4AEC-A042-5B378A623EA9}" uniqueName="5" name="#FK-Email-Representante" queryTableFieldId="5" dataDxfId="118"/>
    <tableColumn id="6" xr3:uid="{6941FEE9-5537-494F-A896-0C4CBD77CAF8}" uniqueName="6" name="@-Garantido" queryTableFieldId="6" dataDxfId="117"/>
    <tableColumn id="7" xr3:uid="{A2D1BD43-3CBE-4762-AE43-71C1149D79F9}" uniqueName="7" name="@-IV-Venda" queryTableFieldId="7" dataDxfId="116"/>
    <tableColumn id="8" xr3:uid="{D11AAF34-70A6-4F18-BF17-748853ECF485}" uniqueName="8" name="Cota-Venda" queryTableFieldId="8" dataDxfId="115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B0F2630-6A43-43D5-B792-4D7A2B603F9D}" name="Venda" displayName="Venda" ref="A5:M445" tableType="queryTable" totalsRowShown="0" headerRowDxfId="112" dataDxfId="111">
  <autoFilter ref="A5:M445" xr:uid="{6C4FF5C2-92FA-4C57-9DA9-1A820412D97B}"/>
  <tableColumns count="13">
    <tableColumn id="1" xr3:uid="{71A3E889-B1AB-4416-8BFB-F3CEF0881B3F}" uniqueName="1" name="#FK-AnoMes-Unv" queryTableFieldId="1" dataDxfId="110"/>
    <tableColumn id="2" xr3:uid="{659D7EBE-9596-453F-A7C0-16F180BA3810}" uniqueName="2" name="#FK-Cod-Linha" queryTableFieldId="2" dataDxfId="109"/>
    <tableColumn id="3" xr3:uid="{49C60CE7-214F-4F03-A52C-4EE71749A488}" uniqueName="3" name="#FK-Cod-Produto" queryTableFieldId="3" dataDxfId="108"/>
    <tableColumn id="4" xr3:uid="{619A6BA8-2962-400E-B75F-8FA754EB7BAB}" uniqueName="4" name="#FK-CNPJ-Estabelecimento" queryTableFieldId="4" dataDxfId="107"/>
    <tableColumn id="5" xr3:uid="{74678905-0315-4CDB-8571-AB8E83D87902}" uniqueName="5" name="@-Ministerio" queryTableFieldId="5" dataDxfId="106"/>
    <tableColumn id="6" xr3:uid="{097E72F3-95DD-443D-AB0D-3E390FAA5F16}" uniqueName="6" name="@-Distribuidor" queryTableFieldId="6" dataDxfId="105"/>
    <tableColumn id="7" xr3:uid="{8935919E-C27E-4B7F-AC14-54A4920E05C0}" uniqueName="7" name="@-IV-Venda" queryTableFieldId="7" dataDxfId="104"/>
    <tableColumn id="8" xr3:uid="{2734D616-7DA4-4D15-804B-3CAEC9F51A13}" uniqueName="8" name="#FK-Email-Gerente" queryTableFieldId="8" dataDxfId="103"/>
    <tableColumn id="9" xr3:uid="{405DDF62-4C1E-4150-9D43-16A78A82985A}" uniqueName="9" name="#FK-Email-Representante" queryTableFieldId="9" dataDxfId="102"/>
    <tableColumn id="10" xr3:uid="{75CCBA4D-CF09-47D7-9D30-89BD9DAA2964}" uniqueName="10" name="Venda-UN" queryTableFieldId="10" dataDxfId="101"/>
    <tableColumn id="11" xr3:uid="{8E30773C-8635-4DB8-9939-566A8DE54B02}" uniqueName="11" name="Venda-EQ" queryTableFieldId="11" dataDxfId="100"/>
    <tableColumn id="12" xr3:uid="{B1F6C55F-A535-4745-988F-9D72E7E6700E}" uniqueName="12" name="Venda-BRL" queryTableFieldId="12" dataDxfId="99"/>
    <tableColumn id="13" xr3:uid="{54A1496A-B95D-4189-BD61-9167D6CE29DA}" uniqueName="13" name="Venda-IV" queryTableFieldId="13" dataDxfId="98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32A0F67-9FA1-4923-A7FC-4966C02D5AE2}" name="Visitas_Outros" displayName="Visitas_Outros" ref="A5:Q24" tableType="queryTable" totalsRowShown="0" headerRowDxfId="90" dataDxfId="89">
  <autoFilter ref="A5:Q24" xr:uid="{4EA6D9E4-CBD1-4266-895A-DD8F85AD46B2}"/>
  <tableColumns count="17">
    <tableColumn id="1" xr3:uid="{9C4FA4EA-F1CA-4726-8A9C-60DD46126750}" uniqueName="1" name="#FK-AnoMes-Unv" queryTableFieldId="1" dataDxfId="88"/>
    <tableColumn id="2" xr3:uid="{31F3C9EC-2F80-48AE-B021-348705E85398}" uniqueName="2" name="#FK-Email-Gerente" queryTableFieldId="2" dataDxfId="87"/>
    <tableColumn id="3" xr3:uid="{379C225A-C981-420E-887B-BC4FD5F8AEA9}" uniqueName="3" name="#FK-Email-Representante" queryTableFieldId="3" dataDxfId="86"/>
    <tableColumn id="4" xr3:uid="{CD6C1AB0-5C0F-480B-8688-62988F071B61}" uniqueName="4" name="#FK-Email-Representante_ESP" queryTableFieldId="4" dataDxfId="85"/>
    <tableColumn id="5" xr3:uid="{955B88EA-BCB4-4203-905C-9F0D094CB933}" uniqueName="5" name="#FK-Email-Representante_HSP" queryTableFieldId="5" dataDxfId="84"/>
    <tableColumn id="6" xr3:uid="{53D8423C-18F3-4506-B607-13EFBDC7D172}" uniqueName="6" name="#FK-Email-Representante_EMH" queryTableFieldId="6" dataDxfId="83"/>
    <tableColumn id="7" xr3:uid="{1D2821E5-A6D3-4FFD-8CBF-723D3D8D5BA8}" uniqueName="7" name="@-ESP" queryTableFieldId="7" dataDxfId="82"/>
    <tableColumn id="8" xr3:uid="{3FA526FC-2C47-45D4-8FC1-98DAC45B36E7}" uniqueName="8" name="@-HSP" queryTableFieldId="8" dataDxfId="81"/>
    <tableColumn id="9" xr3:uid="{51B16AC4-2462-4884-9DED-D16A06B2DF42}" uniqueName="9" name="@-EMH" queryTableFieldId="9" dataDxfId="80"/>
    <tableColumn id="10" xr3:uid="{4E892A9F-D443-47EE-B76C-A4910E2ABFF8}" uniqueName="10" name="Visitas-Meta" queryTableFieldId="10" dataDxfId="79"/>
    <tableColumn id="11" xr3:uid="{5270940A-30CA-4D39-A387-E83EEB822C6C}" uniqueName="11" name="Visitas-Realizadas" queryTableFieldId="11" dataDxfId="78"/>
    <tableColumn id="12" xr3:uid="{EBFF1407-99CB-43AF-85F6-1842E63EB08F}" uniqueName="12" name="@Garantido-Visitas" queryTableFieldId="12" dataDxfId="77"/>
    <tableColumn id="13" xr3:uid="{BAE07099-8970-413F-932A-AE914100715C}" uniqueName="13" name="%Realizado-Visitas" queryTableFieldId="13" dataDxfId="76"/>
    <tableColumn id="14" xr3:uid="{97FED1AE-44F5-477E-8EFE-0D5C1769594B}" uniqueName="14" name="%Realizado-Connect-Mind" queryTableFieldId="14" dataDxfId="75"/>
    <tableColumn id="15" xr3:uid="{7FE41AF3-AA7E-4739-9FE4-D5C332BA43A9}" uniqueName="15" name="%Realizado-Aval-GR" queryTableFieldId="15" dataDxfId="74"/>
    <tableColumn id="16" xr3:uid="{AD19A0CE-53EB-40B6-AB2A-BD68297AEFBA}" uniqueName="16" name="%Realizado-Plateau" queryTableFieldId="16" dataDxfId="73"/>
    <tableColumn id="17" xr3:uid="{E9B78800-03EB-48A3-913C-8E7AE03ECBE6}" uniqueName="17" name="%Realizado-Compliance" queryTableFieldId="17" dataDxfId="72"/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DE0C44-BB19-42F0-BA77-352E94591EB4}" name="Valores_Gerentes" displayName="Valores_Gerentes" ref="A5:N711" tableType="queryTable" totalsRowShown="0" headerRowDxfId="69" dataDxfId="68">
  <autoFilter ref="A5:N711" xr:uid="{7BB78744-5478-4DC7-BDDB-CDD07B127072}"/>
  <sortState xmlns:xlrd2="http://schemas.microsoft.com/office/spreadsheetml/2017/richdata2" ref="A6:N711">
    <sortCondition ref="A5:A711"/>
  </sortState>
  <tableColumns count="14">
    <tableColumn id="1" xr3:uid="{AE5B2212-B1B1-4C2C-8D50-319E14C4D2E5}" uniqueName="1" name="#PK-Cobertura" queryTableFieldId="1" dataDxfId="67" dataCellStyle="Porcentagem"/>
    <tableColumn id="2" xr3:uid="{3F5AF59B-8253-4531-A54B-F7A9FB431518}" uniqueName="2" name="Valor-Base" queryTableFieldId="2" dataDxfId="66"/>
    <tableColumn id="3" xr3:uid="{E3D95A19-7BB7-490A-8997-0E89DB7CB2AD}" uniqueName="3" name="05.00%-Demanda-BERINERT" queryTableFieldId="3" dataDxfId="65"/>
    <tableColumn id="4" xr3:uid="{D0B57E99-6537-4C59-B480-D8E5FF6F0F5F}" uniqueName="4" name="02.50%-Demanda-BERIPLEX" queryTableFieldId="4" dataDxfId="64"/>
    <tableColumn id="5" xr3:uid="{89D471C4-7A7D-495E-AC73-51A5F5EF7AC5}" uniqueName="5" name="02.50%-Demanda-HAEMO" queryTableFieldId="5" dataDxfId="63"/>
    <tableColumn id="6" xr3:uid="{8BAA1511-08BF-4108-B6EA-B3956E8F6942}" uniqueName="6" name="10.00%-Demanda-HIZENTRA" queryTableFieldId="6" dataDxfId="62"/>
    <tableColumn id="7" xr3:uid="{99F1F61F-90D6-4BFF-A7B4-5B54734B3705}" uniqueName="7" name="05.00%-Demanda-PRIVIGEN" queryTableFieldId="7" dataDxfId="61"/>
    <tableColumn id="8" xr3:uid="{DE0F45B2-C5A3-46C0-9C42-B351034A88D8}" uniqueName="8" name="05.00%-Venda" queryTableFieldId="8" dataDxfId="60"/>
    <tableColumn id="9" xr3:uid="{90D4EC48-A49E-49FB-BDCF-70B9983F6222}" uniqueName="9" name="10.00%-Visitas" queryTableFieldId="9" dataDxfId="59"/>
    <tableColumn id="10" xr3:uid="{A360C4DD-0C86-4A74-89A9-1D5500B38AFB}" uniqueName="10" name="10.00%-Connect-MInd" queryTableFieldId="10" dataDxfId="58"/>
    <tableColumn id="11" xr3:uid="{B4D0438F-4F1C-426B-8FC3-6B9AD1A86B8D}" uniqueName="11" name="30.00%-Gerente-Contas" queryTableFieldId="11" dataDxfId="57"/>
    <tableColumn id="12" xr3:uid="{4C269F16-E298-4BC7-8219-F7B9C36AE0F2}" uniqueName="12" name="10.00%-Plateau" queryTableFieldId="12" dataDxfId="56"/>
    <tableColumn id="13" xr3:uid="{9A6FDFE4-C51A-4881-A9C9-F57377414712}" uniqueName="13" name="10.00%-Compliance" queryTableFieldId="13" dataDxfId="55"/>
    <tableColumn id="14" xr3:uid="{001BBA29-33DD-4AA6-80F4-899B1E330DBE}" uniqueName="14" name="Check" queryTableFieldId="14" dataDxfId="54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FC8F17-4670-480B-B64A-81EE2A7AA0B5}" name="Valores_Representantes_ESP" displayName="Valores_Representantes_ESP" ref="A5:N711" tableType="queryTable" totalsRowShown="0" headerRowDxfId="51" dataDxfId="50">
  <autoFilter ref="A5:N711" xr:uid="{C250A111-FCF4-42EE-85C2-77BC561E3FD2}"/>
  <sortState xmlns:xlrd2="http://schemas.microsoft.com/office/spreadsheetml/2017/richdata2" ref="A6:N711">
    <sortCondition ref="A5:A711"/>
  </sortState>
  <tableColumns count="14">
    <tableColumn id="1" xr3:uid="{882AD999-28E9-4387-8E05-389C92D2609D}" uniqueName="1" name="#PK-Cobertura" queryTableFieldId="1" dataDxfId="49" dataCellStyle="Porcentagem"/>
    <tableColumn id="2" xr3:uid="{B15E6E47-AF1B-4BB3-AAF9-87D9E9F6014B}" uniqueName="2" name="Valor-Base" queryTableFieldId="2" dataDxfId="48"/>
    <tableColumn id="3" xr3:uid="{6272BF5D-30AD-4B78-A189-B8A72DB27642}" uniqueName="3" name="05.00%-Demanda-BERINERT" queryTableFieldId="3" dataDxfId="47"/>
    <tableColumn id="4" xr3:uid="{FF62B261-0BA7-40DF-9A82-72BEA32FC19A}" uniqueName="4" name="00.00%-Demanda-BERIPLEX" queryTableFieldId="4" dataDxfId="46"/>
    <tableColumn id="5" xr3:uid="{2199B88A-B8EB-4233-BBB8-5B8F677201C2}" uniqueName="5" name="00.00%-Demanda-HAEMO" queryTableFieldId="5" dataDxfId="45"/>
    <tableColumn id="6" xr3:uid="{FD949667-195D-43D1-88FC-9FAF8B61DFC2}" uniqueName="6" name="15.00%-Demanda-HIZENTRA" queryTableFieldId="6" dataDxfId="44"/>
    <tableColumn id="7" xr3:uid="{8F9EDA3A-8C92-43E7-BC37-A4C41DBD6B4A}" uniqueName="7" name="05.00%-Demanda-PRIVIGEN" queryTableFieldId="7" dataDxfId="43"/>
    <tableColumn id="8" xr3:uid="{746D3A2E-C4DB-4C5A-A8CE-176F55BCF295}" uniqueName="8" name="05.00%-Venda" queryTableFieldId="8" dataDxfId="42"/>
    <tableColumn id="9" xr3:uid="{3F280411-11B2-4734-9E89-F2E80561F655}" uniqueName="9" name="10.00%-Visitas" queryTableFieldId="9" dataDxfId="41"/>
    <tableColumn id="10" xr3:uid="{13704D28-A608-4BC5-9A69-7F1014541F38}" uniqueName="10" name="10.00%-Connect-MInd" queryTableFieldId="10" dataDxfId="40"/>
    <tableColumn id="11" xr3:uid="{52EDBA32-6751-4996-B021-27E7D2E95210}" uniqueName="11" name="30.00%-Gerente-Contas" queryTableFieldId="11" dataDxfId="39"/>
    <tableColumn id="12" xr3:uid="{B7551F55-FE4E-4736-987B-4E9DFEEFF2B8}" uniqueName="12" name="10.00%-Plateau" queryTableFieldId="12" dataDxfId="38"/>
    <tableColumn id="13" xr3:uid="{3DD12EF1-2965-4BB5-B9FD-B2B5EAFB113E}" uniqueName="13" name="10.00%-Compliance" queryTableFieldId="13" dataDxfId="37"/>
    <tableColumn id="14" xr3:uid="{CF77875A-DE8F-4E90-939A-EC36AF524A96}" uniqueName="14" name="Check" queryTableFieldId="14" dataDxfId="36"/>
  </tableColumns>
  <tableStyleInfo name="TableStyleLight1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9E8917F-A4AD-443B-AE2F-872C5473A0A5}" name="Valores_Representantes_HSP" displayName="Valores_Representantes_HSP" ref="A5:N711" tableType="queryTable" totalsRowShown="0" headerRowDxfId="33" dataDxfId="32">
  <autoFilter ref="A5:N711" xr:uid="{988CD726-C4CF-4DF5-B5C3-E241564E78D8}"/>
  <sortState xmlns:xlrd2="http://schemas.microsoft.com/office/spreadsheetml/2017/richdata2" ref="A6:N711">
    <sortCondition ref="A5:A711"/>
  </sortState>
  <tableColumns count="14">
    <tableColumn id="1" xr3:uid="{E0BA7E74-DF80-4590-8826-41075FBBBF1B}" uniqueName="1" name="#PK-Cobertura" queryTableFieldId="1" dataDxfId="31"/>
    <tableColumn id="2" xr3:uid="{F8768036-D059-47C0-B410-95090572E3EA}" uniqueName="2" name="Valor-Base" queryTableFieldId="2" dataDxfId="30"/>
    <tableColumn id="3" xr3:uid="{670C1870-8520-4E13-981B-224D63E15345}" uniqueName="3" name="00.00%-Demanda-BERINERT" queryTableFieldId="3" dataDxfId="29"/>
    <tableColumn id="4" xr3:uid="{781E6189-D114-416F-9850-0007F05B86EC}" uniqueName="4" name="07.50%-Demanda-BERIPLEX" queryTableFieldId="4" dataDxfId="28"/>
    <tableColumn id="5" xr3:uid="{9A60826D-C316-454D-BD28-90526BE39D38}" uniqueName="5" name="07.50%-Demanda-HAEMO" queryTableFieldId="5" dataDxfId="27"/>
    <tableColumn id="6" xr3:uid="{3C75B278-B37C-4A9B-8C28-7C9350B65474}" uniqueName="6" name="00.00%-Demanda-HIZENTRA" queryTableFieldId="6" dataDxfId="26"/>
    <tableColumn id="7" xr3:uid="{71D48EF4-3009-41E6-A0E9-E63117B8AE70}" uniqueName="7" name="10.00%-Demanda-PRIVIGEN" queryTableFieldId="7" dataDxfId="25"/>
    <tableColumn id="8" xr3:uid="{5ECCD7B1-1FA4-4550-ACDB-70A1279046C0}" uniqueName="8" name="05.00%-Venda" queryTableFieldId="8" dataDxfId="24"/>
    <tableColumn id="9" xr3:uid="{96151C7F-FB19-4762-B05A-CC7915FB3395}" uniqueName="9" name="10.00%-Visitas" queryTableFieldId="9" dataDxfId="23"/>
    <tableColumn id="10" xr3:uid="{03FE76DB-E8A3-490E-B38B-3C603A6C0CCE}" uniqueName="10" name="10.00%-Connect-MInd" queryTableFieldId="10" dataDxfId="22"/>
    <tableColumn id="11" xr3:uid="{0161C287-DFFC-49E1-B980-2157454B6CF4}" uniqueName="11" name="30.00%-Gerente-Contas" queryTableFieldId="11" dataDxfId="21"/>
    <tableColumn id="12" xr3:uid="{25065B02-D631-4DFB-848A-1F08643FFC21}" uniqueName="12" name="10.00%-Plateau" queryTableFieldId="12" dataDxfId="20"/>
    <tableColumn id="13" xr3:uid="{4436AD3E-8369-4226-8AB9-5C392A4FE916}" uniqueName="13" name="10.00%-Compliance" queryTableFieldId="13" dataDxfId="19"/>
    <tableColumn id="14" xr3:uid="{1DFC7F48-4E11-4025-A65C-4A4A40AFEF69}" uniqueName="14" name="Check" queryTableFieldId="14" dataDxfId="18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BD3CF44-5573-4D76-8E9F-2F7C32267514}" name="Valores_Representantes_EMH" displayName="Valores_Representantes_EMH" ref="A5:N711" tableType="queryTable" totalsRowShown="0" headerRowDxfId="15" dataDxfId="14">
  <autoFilter ref="A5:N711" xr:uid="{E083B4DC-B79F-4622-B3E5-2DCF3B88F74A}"/>
  <sortState xmlns:xlrd2="http://schemas.microsoft.com/office/spreadsheetml/2017/richdata2" ref="A6:N711">
    <sortCondition ref="A5:A711"/>
  </sortState>
  <tableColumns count="14">
    <tableColumn id="1" xr3:uid="{10A93051-6CFF-4A6A-A030-EB6235F65DE8}" uniqueName="1" name="#PK-Cobertura" queryTableFieldId="1" dataDxfId="13" dataCellStyle="Porcentagem"/>
    <tableColumn id="2" xr3:uid="{0DEF9B53-A66C-4B0E-9B24-9B5D7572FDD8}" uniqueName="2" name="Valor-Base" queryTableFieldId="2" dataDxfId="12"/>
    <tableColumn id="3" xr3:uid="{A1937C36-8732-4216-A781-DAD09AD0A825}" uniqueName="3" name="05.00%-Demanda-BERINERT" queryTableFieldId="3" dataDxfId="11"/>
    <tableColumn id="4" xr3:uid="{37343570-3D12-408B-81E7-1852BE531277}" uniqueName="4" name="02.50%-Demanda-BERIPLEX" queryTableFieldId="4" dataDxfId="10"/>
    <tableColumn id="5" xr3:uid="{AEB6CAC6-1871-4936-BCCF-E5CA44629A39}" uniqueName="5" name="02.50%-Demanda-HAEMO" queryTableFieldId="5" dataDxfId="9"/>
    <tableColumn id="6" xr3:uid="{8F304658-B710-4128-B4DB-40EB3E8DFF0A}" uniqueName="6" name="10.00%-Demanda-HIZENTRA" queryTableFieldId="6" dataDxfId="8"/>
    <tableColumn id="7" xr3:uid="{2B2D1FB2-07E0-422A-8BA9-8A60F736F3F8}" uniqueName="7" name="05.00%-Demanda-PRIVIGEN" queryTableFieldId="7" dataDxfId="7"/>
    <tableColumn id="8" xr3:uid="{BB8B5E49-2D7E-4B38-841D-D3FF00BD0950}" uniqueName="8" name="05.00%-Venda" queryTableFieldId="8" dataDxfId="6"/>
    <tableColumn id="9" xr3:uid="{8E3886C8-F634-478B-B050-E5916E152746}" uniqueName="9" name="10.00%-Visitas" queryTableFieldId="9" dataDxfId="5"/>
    <tableColumn id="10" xr3:uid="{D577F885-2094-49A5-A1EC-ECDF88604974}" uniqueName="10" name="10.00%-Connect-MInd" queryTableFieldId="10" dataDxfId="4"/>
    <tableColumn id="11" xr3:uid="{50CB6DA6-8439-4568-AA95-E5BCC86A15F5}" uniqueName="11" name="30.00%-Gerente-Contas" queryTableFieldId="11" dataDxfId="3"/>
    <tableColumn id="12" xr3:uid="{D37C7BCF-8553-4350-ABAF-F188332EF08E}" uniqueName="12" name="10.00%-Plateau" queryTableFieldId="12" dataDxfId="2"/>
    <tableColumn id="13" xr3:uid="{33064C5B-F943-44BF-970C-442BCFFDB8A4}" uniqueName="13" name="10.00%-Compliance" queryTableFieldId="13" dataDxfId="1"/>
    <tableColumn id="14" xr3:uid="{878776F7-0794-48F7-871B-3C279DABC5AA}" uniqueName="14" name="Check" queryTableFieldId="14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5BCCD-6701-443A-A812-A0982AB538E4}">
  <sheetPr codeName="Planilha1"/>
  <dimension ref="A2:B3"/>
  <sheetViews>
    <sheetView showGridLines="0" workbookViewId="0">
      <selection activeCell="A3" sqref="A3"/>
    </sheetView>
  </sheetViews>
  <sheetFormatPr defaultRowHeight="15" x14ac:dyDescent="0.25"/>
  <cols>
    <col min="1" max="1" width="24.5703125" bestFit="1" customWidth="1"/>
    <col min="2" max="2" width="26.7109375" bestFit="1" customWidth="1"/>
    <col min="5" max="5" width="26.7109375" bestFit="1" customWidth="1"/>
  </cols>
  <sheetData>
    <row r="2" spans="1:2" x14ac:dyDescent="0.25">
      <c r="A2" t="s">
        <v>78</v>
      </c>
      <c r="B2" t="s">
        <v>79</v>
      </c>
    </row>
    <row r="3" spans="1:2" x14ac:dyDescent="0.25">
      <c r="A3" s="11">
        <v>44061.431503726853</v>
      </c>
      <c r="B3" s="11">
        <v>44061.251536805554</v>
      </c>
    </row>
  </sheetData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4BC02-B7F7-433B-A7ED-83EB9A50E692}">
  <sheetPr codeName="Planilha2"/>
  <dimension ref="A2:N37"/>
  <sheetViews>
    <sheetView showGridLines="0" topLeftCell="B1" workbookViewId="0">
      <selection activeCell="B2" sqref="B2"/>
    </sheetView>
  </sheetViews>
  <sheetFormatPr defaultRowHeight="15" x14ac:dyDescent="0.25"/>
  <cols>
    <col min="1" max="1" width="29.140625" hidden="1" customWidth="1"/>
    <col min="2" max="2" width="48.7109375" customWidth="1"/>
    <col min="3" max="13" width="16.5703125" customWidth="1"/>
    <col min="14" max="14" width="18" bestFit="1" customWidth="1"/>
  </cols>
  <sheetData>
    <row r="2" spans="1:14" x14ac:dyDescent="0.25">
      <c r="B2" s="106" t="s">
        <v>289</v>
      </c>
      <c r="C2" s="102"/>
    </row>
    <row r="3" spans="1:14" x14ac:dyDescent="0.25">
      <c r="B3" s="106" t="str">
        <f>"Relatório atualizado em " &amp; TEXT(Ultima_Atualizacao_RPT[[#This Row],[Ultima-Atualizacao-RPT]],"dd/mm/aaaa") &amp; " Dados Atualizados em " &amp; TEXT(Ultima_Atualizacao_DADOS[[#This Row],[Ultima-Atualizacao-Dados]],"dd/mm/aaaa")</f>
        <v>Relatório atualizado em 18/08/2020 Dados Atualizados em 18/08/2020</v>
      </c>
      <c r="C3" s="102"/>
      <c r="D3" s="102"/>
      <c r="E3" s="102"/>
      <c r="F3" s="102"/>
      <c r="G3" s="102"/>
    </row>
    <row r="4" spans="1:14" ht="21" x14ac:dyDescent="0.25">
      <c r="B4" s="79" t="s">
        <v>448</v>
      </c>
      <c r="C4" s="79"/>
      <c r="D4" s="102"/>
      <c r="E4" s="102"/>
      <c r="F4" s="102"/>
      <c r="G4" s="102"/>
    </row>
    <row r="5" spans="1:14" ht="21" x14ac:dyDescent="0.25">
      <c r="B5" s="79" t="s">
        <v>280</v>
      </c>
      <c r="C5" s="105" t="str" cm="1">
        <f t="array" ref="C5">Datas[AnoMes-Fiscal]</f>
        <v>2020/2021 (01-Jul)</v>
      </c>
      <c r="D5" s="79"/>
      <c r="E5" s="79"/>
      <c r="F5" s="79"/>
      <c r="G5" s="79"/>
    </row>
    <row r="6" spans="1:14" x14ac:dyDescent="0.25">
      <c r="D6" s="1"/>
      <c r="E6" s="1"/>
      <c r="F6" s="1"/>
      <c r="G6" s="1"/>
    </row>
    <row r="7" spans="1:14" s="115" customFormat="1" ht="15.75" x14ac:dyDescent="0.25">
      <c r="B7" s="112" t="s">
        <v>452</v>
      </c>
      <c r="C7" s="113">
        <f t="shared" ref="C7:N7" si="0">C14+C37</f>
        <v>3885.6406999999999</v>
      </c>
      <c r="D7" s="113">
        <f t="shared" si="0"/>
        <v>210.27699999999999</v>
      </c>
      <c r="E7" s="113">
        <f t="shared" si="0"/>
        <v>0</v>
      </c>
      <c r="F7" s="113">
        <f t="shared" si="0"/>
        <v>3786.9089000000004</v>
      </c>
      <c r="G7" s="113">
        <f t="shared" si="0"/>
        <v>8245.4680000000008</v>
      </c>
      <c r="H7" s="113">
        <f t="shared" si="0"/>
        <v>14836.154099999998</v>
      </c>
      <c r="I7" s="113">
        <f t="shared" si="0"/>
        <v>30908.281899999998</v>
      </c>
      <c r="J7" s="113">
        <f t="shared" si="0"/>
        <v>8837.9341999999997</v>
      </c>
      <c r="K7" s="113">
        <f t="shared" si="0"/>
        <v>26513.804499999995</v>
      </c>
      <c r="L7" s="113">
        <f t="shared" si="0"/>
        <v>8837.9341999999997</v>
      </c>
      <c r="M7" s="113">
        <f t="shared" si="0"/>
        <v>8837.9341999999997</v>
      </c>
      <c r="N7" s="114">
        <f t="shared" si="0"/>
        <v>114900.3377</v>
      </c>
    </row>
    <row r="9" spans="1:14" x14ac:dyDescent="0.25">
      <c r="B9" s="103" t="s">
        <v>292</v>
      </c>
    </row>
    <row r="10" spans="1:14" x14ac:dyDescent="0.25">
      <c r="C10" s="45" t="s">
        <v>6</v>
      </c>
      <c r="D10" s="45" t="s">
        <v>8</v>
      </c>
      <c r="E10" s="45" t="s">
        <v>10</v>
      </c>
      <c r="F10" s="45" t="s">
        <v>11</v>
      </c>
      <c r="G10" s="45" t="s">
        <v>12</v>
      </c>
      <c r="H10" s="45" t="s">
        <v>440</v>
      </c>
      <c r="I10" s="45" t="s">
        <v>441</v>
      </c>
      <c r="J10" s="45" t="s">
        <v>442</v>
      </c>
      <c r="K10" s="45" t="s">
        <v>443</v>
      </c>
      <c r="L10" s="45" t="s">
        <v>444</v>
      </c>
      <c r="M10" s="45" t="s">
        <v>445</v>
      </c>
      <c r="N10" s="109" t="s">
        <v>446</v>
      </c>
    </row>
    <row r="11" spans="1:14" x14ac:dyDescent="0.25">
      <c r="A11" s="104" t="s">
        <v>447</v>
      </c>
      <c r="B11" t="s">
        <v>15</v>
      </c>
      <c r="C11" s="107">
        <v>0</v>
      </c>
      <c r="D11" s="107">
        <v>0</v>
      </c>
      <c r="E11" s="107">
        <v>0</v>
      </c>
      <c r="F11" s="107">
        <v>0</v>
      </c>
      <c r="G11" s="107">
        <v>205.83459999999999</v>
      </c>
      <c r="H11" s="107">
        <v>946.98860000000002</v>
      </c>
      <c r="I11" s="107">
        <v>2246.5680000000002</v>
      </c>
      <c r="J11" s="107">
        <v>564.12350000000004</v>
      </c>
      <c r="K11" s="107">
        <v>1692.3705</v>
      </c>
      <c r="L11" s="107">
        <v>564.12350000000004</v>
      </c>
      <c r="M11" s="107">
        <v>564.12350000000004</v>
      </c>
      <c r="N11" s="110">
        <v>6784.1322</v>
      </c>
    </row>
    <row r="12" spans="1:14" x14ac:dyDescent="0.25">
      <c r="A12" s="104" t="s">
        <v>447</v>
      </c>
      <c r="B12" t="s">
        <v>16</v>
      </c>
      <c r="C12" s="107">
        <v>1169.3262</v>
      </c>
      <c r="D12" s="107">
        <v>0</v>
      </c>
      <c r="E12" s="107">
        <v>0</v>
      </c>
      <c r="F12" s="107">
        <v>1487.1881000000001</v>
      </c>
      <c r="G12" s="107">
        <v>749.92790000000002</v>
      </c>
      <c r="H12" s="107">
        <v>946.98860000000002</v>
      </c>
      <c r="I12" s="107">
        <v>2095.4131000000002</v>
      </c>
      <c r="J12" s="107">
        <v>564.12350000000004</v>
      </c>
      <c r="K12" s="107">
        <v>1692.3705</v>
      </c>
      <c r="L12" s="107">
        <v>564.12350000000004</v>
      </c>
      <c r="M12" s="107">
        <v>564.12350000000004</v>
      </c>
      <c r="N12" s="110">
        <v>9833.584899999998</v>
      </c>
    </row>
    <row r="13" spans="1:14" x14ac:dyDescent="0.25">
      <c r="A13" s="104" t="s">
        <v>447</v>
      </c>
      <c r="B13" t="s">
        <v>17</v>
      </c>
      <c r="C13" s="107">
        <v>969.17169999999999</v>
      </c>
      <c r="D13" s="107">
        <v>0</v>
      </c>
      <c r="E13" s="107">
        <v>0</v>
      </c>
      <c r="F13" s="107">
        <v>0</v>
      </c>
      <c r="G13" s="107">
        <v>950.04830000000004</v>
      </c>
      <c r="H13" s="107">
        <v>946.98860000000002</v>
      </c>
      <c r="I13" s="107">
        <v>2027.6702</v>
      </c>
      <c r="J13" s="107">
        <v>564.12350000000004</v>
      </c>
      <c r="K13" s="107">
        <v>1692.3705</v>
      </c>
      <c r="L13" s="107">
        <v>564.12350000000004</v>
      </c>
      <c r="M13" s="107">
        <v>564.12350000000004</v>
      </c>
      <c r="N13" s="110">
        <v>8278.6198000000004</v>
      </c>
    </row>
    <row r="14" spans="1:14" x14ac:dyDescent="0.25">
      <c r="A14" t="s">
        <v>449</v>
      </c>
      <c r="C14" s="107">
        <v>2138.4978999999998</v>
      </c>
      <c r="D14" s="107">
        <v>0</v>
      </c>
      <c r="E14" s="107">
        <v>0</v>
      </c>
      <c r="F14" s="107">
        <v>1487.1881000000001</v>
      </c>
      <c r="G14" s="107">
        <v>1905.8108000000002</v>
      </c>
      <c r="H14" s="107">
        <v>2840.9657999999999</v>
      </c>
      <c r="I14" s="107">
        <v>6369.6513000000014</v>
      </c>
      <c r="J14" s="107">
        <v>1692.3705</v>
      </c>
      <c r="K14" s="107">
        <v>5077.1115</v>
      </c>
      <c r="L14" s="107">
        <v>1692.3705</v>
      </c>
      <c r="M14" s="107">
        <v>1692.3705</v>
      </c>
      <c r="N14" s="110">
        <v>24896.336899999998</v>
      </c>
    </row>
    <row r="15" spans="1:14" x14ac:dyDescent="0.25">
      <c r="A15" s="104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8"/>
    </row>
    <row r="16" spans="1:14" x14ac:dyDescent="0.25">
      <c r="B16" s="103" t="s">
        <v>451</v>
      </c>
    </row>
    <row r="17" spans="1:14" x14ac:dyDescent="0.25">
      <c r="C17" s="45" t="s">
        <v>6</v>
      </c>
      <c r="D17" s="45" t="s">
        <v>8</v>
      </c>
      <c r="E17" s="45" t="s">
        <v>10</v>
      </c>
      <c r="F17" s="45" t="s">
        <v>11</v>
      </c>
      <c r="G17" s="45" t="s">
        <v>12</v>
      </c>
      <c r="H17" s="45" t="s">
        <v>440</v>
      </c>
      <c r="I17" s="45" t="s">
        <v>441</v>
      </c>
      <c r="J17" s="45" t="s">
        <v>442</v>
      </c>
      <c r="K17" s="45" t="s">
        <v>443</v>
      </c>
      <c r="L17" s="45" t="s">
        <v>444</v>
      </c>
      <c r="M17" s="45" t="s">
        <v>445</v>
      </c>
      <c r="N17" s="109" t="s">
        <v>446</v>
      </c>
    </row>
    <row r="18" spans="1:14" x14ac:dyDescent="0.25">
      <c r="A18" s="104" t="s">
        <v>447</v>
      </c>
      <c r="B18" t="s">
        <v>23</v>
      </c>
      <c r="C18" s="107">
        <v>0</v>
      </c>
      <c r="D18" s="107">
        <v>0</v>
      </c>
      <c r="E18" s="107">
        <v>0</v>
      </c>
      <c r="F18" s="107">
        <v>0</v>
      </c>
      <c r="G18" s="107">
        <v>1559.1016</v>
      </c>
      <c r="H18" s="107">
        <v>631.32569999999998</v>
      </c>
      <c r="I18" s="107">
        <v>1559.1016</v>
      </c>
      <c r="J18" s="107">
        <v>376.08229999999998</v>
      </c>
      <c r="K18" s="107">
        <v>1128.2470000000001</v>
      </c>
      <c r="L18" s="107">
        <v>376.08229999999998</v>
      </c>
      <c r="M18" s="107">
        <v>376.08229999999998</v>
      </c>
      <c r="N18" s="111">
        <v>6006.0227999999997</v>
      </c>
    </row>
    <row r="19" spans="1:14" x14ac:dyDescent="0.25">
      <c r="A19" s="104" t="s">
        <v>447</v>
      </c>
      <c r="B19" t="s">
        <v>24</v>
      </c>
      <c r="C19" s="107">
        <v>0</v>
      </c>
      <c r="D19" s="107">
        <v>0</v>
      </c>
      <c r="E19" s="107">
        <v>0</v>
      </c>
      <c r="F19" s="107">
        <v>0</v>
      </c>
      <c r="G19" s="107">
        <v>0</v>
      </c>
      <c r="H19" s="107">
        <v>631.32569999999998</v>
      </c>
      <c r="I19" s="107">
        <v>1559.1016</v>
      </c>
      <c r="J19" s="107">
        <v>376.08229999999998</v>
      </c>
      <c r="K19" s="107">
        <v>1128.2470000000001</v>
      </c>
      <c r="L19" s="107">
        <v>376.08229999999998</v>
      </c>
      <c r="M19" s="107">
        <v>376.08229999999998</v>
      </c>
      <c r="N19" s="111">
        <v>4446.9211999999998</v>
      </c>
    </row>
    <row r="20" spans="1:14" x14ac:dyDescent="0.25">
      <c r="A20" s="104" t="s">
        <v>447</v>
      </c>
      <c r="B20" t="s">
        <v>25</v>
      </c>
      <c r="C20" s="107">
        <v>0</v>
      </c>
      <c r="D20" s="107">
        <v>0</v>
      </c>
      <c r="E20" s="107">
        <v>0</v>
      </c>
      <c r="F20" s="107">
        <v>0</v>
      </c>
      <c r="G20" s="107">
        <v>0</v>
      </c>
      <c r="H20" s="107">
        <v>631.32569999999998</v>
      </c>
      <c r="I20" s="107">
        <v>1559.1016</v>
      </c>
      <c r="J20" s="107">
        <v>376.08229999999998</v>
      </c>
      <c r="K20" s="107">
        <v>1128.2470000000001</v>
      </c>
      <c r="L20" s="107">
        <v>376.08229999999998</v>
      </c>
      <c r="M20" s="107">
        <v>376.08229999999998</v>
      </c>
      <c r="N20" s="111">
        <v>4446.9211999999998</v>
      </c>
    </row>
    <row r="21" spans="1:14" x14ac:dyDescent="0.25">
      <c r="A21" s="104" t="s">
        <v>447</v>
      </c>
      <c r="B21" t="s">
        <v>26</v>
      </c>
      <c r="C21" s="107">
        <v>188.0412</v>
      </c>
      <c r="D21" s="107">
        <v>0</v>
      </c>
      <c r="E21" s="107">
        <v>0</v>
      </c>
      <c r="F21" s="107">
        <v>564.12350000000004</v>
      </c>
      <c r="G21" s="107">
        <v>188.0412</v>
      </c>
      <c r="H21" s="107">
        <v>631.32569999999998</v>
      </c>
      <c r="I21" s="107">
        <v>376.08229999999998</v>
      </c>
      <c r="J21" s="107">
        <v>376.08229999999998</v>
      </c>
      <c r="K21" s="107">
        <v>1128.2470000000001</v>
      </c>
      <c r="L21" s="107">
        <v>376.08229999999998</v>
      </c>
      <c r="M21" s="107">
        <v>376.08229999999998</v>
      </c>
      <c r="N21" s="111">
        <v>4204.1077999999998</v>
      </c>
    </row>
    <row r="22" spans="1:14" x14ac:dyDescent="0.25">
      <c r="A22" s="104" t="s">
        <v>447</v>
      </c>
      <c r="B22" t="s">
        <v>27</v>
      </c>
      <c r="C22" s="107">
        <v>0</v>
      </c>
      <c r="D22" s="107">
        <v>0</v>
      </c>
      <c r="E22" s="107">
        <v>0</v>
      </c>
      <c r="F22" s="107">
        <v>0</v>
      </c>
      <c r="G22" s="107">
        <v>779.55079999999998</v>
      </c>
      <c r="H22" s="107">
        <v>631.32569999999998</v>
      </c>
      <c r="I22" s="107">
        <v>1536.9623999999999</v>
      </c>
      <c r="J22" s="107">
        <v>376.08229999999998</v>
      </c>
      <c r="K22" s="107">
        <v>1128.2470000000001</v>
      </c>
      <c r="L22" s="107">
        <v>376.08229999999998</v>
      </c>
      <c r="M22" s="107">
        <v>376.08229999999998</v>
      </c>
      <c r="N22" s="111">
        <v>5204.3328000000001</v>
      </c>
    </row>
    <row r="23" spans="1:14" x14ac:dyDescent="0.25">
      <c r="A23" s="104" t="s">
        <v>447</v>
      </c>
      <c r="B23" t="s">
        <v>28</v>
      </c>
      <c r="C23" s="107">
        <v>0</v>
      </c>
      <c r="D23" s="107">
        <v>0</v>
      </c>
      <c r="E23" s="107">
        <v>0</v>
      </c>
      <c r="F23" s="107">
        <v>0</v>
      </c>
      <c r="G23" s="107">
        <v>0</v>
      </c>
      <c r="H23" s="107">
        <v>631.32569999999998</v>
      </c>
      <c r="I23" s="107">
        <v>1296.3086000000001</v>
      </c>
      <c r="J23" s="107">
        <v>376.08229999999998</v>
      </c>
      <c r="K23" s="107">
        <v>1128.2470000000001</v>
      </c>
      <c r="L23" s="107">
        <v>376.08229999999998</v>
      </c>
      <c r="M23" s="107">
        <v>376.08229999999998</v>
      </c>
      <c r="N23" s="111">
        <v>4184.1282000000001</v>
      </c>
    </row>
    <row r="24" spans="1:14" x14ac:dyDescent="0.25">
      <c r="A24" s="104" t="s">
        <v>447</v>
      </c>
      <c r="B24" t="s">
        <v>29</v>
      </c>
      <c r="C24" s="107">
        <v>0</v>
      </c>
      <c r="D24" s="107">
        <v>0</v>
      </c>
      <c r="E24" s="107">
        <v>0</v>
      </c>
      <c r="F24" s="107">
        <v>0</v>
      </c>
      <c r="G24" s="107">
        <v>385.48399999999998</v>
      </c>
      <c r="H24" s="107">
        <v>631.32569999999998</v>
      </c>
      <c r="I24" s="107">
        <v>1318.7465999999999</v>
      </c>
      <c r="J24" s="107">
        <v>376.08229999999998</v>
      </c>
      <c r="K24" s="107">
        <v>1128.2470000000001</v>
      </c>
      <c r="L24" s="107">
        <v>376.08229999999998</v>
      </c>
      <c r="M24" s="107">
        <v>376.08229999999998</v>
      </c>
      <c r="N24" s="111">
        <v>4592.0502000000006</v>
      </c>
    </row>
    <row r="25" spans="1:14" x14ac:dyDescent="0.25">
      <c r="A25" s="104" t="s">
        <v>447</v>
      </c>
      <c r="B25" t="s">
        <v>30</v>
      </c>
      <c r="C25" s="107">
        <v>0</v>
      </c>
      <c r="D25" s="107">
        <v>0</v>
      </c>
      <c r="E25" s="107">
        <v>0</v>
      </c>
      <c r="F25" s="107">
        <v>0</v>
      </c>
      <c r="G25" s="107">
        <v>0</v>
      </c>
      <c r="H25" s="107">
        <v>631.32569999999998</v>
      </c>
      <c r="I25" s="107">
        <v>1382.5724</v>
      </c>
      <c r="J25" s="107">
        <v>376.08229999999998</v>
      </c>
      <c r="K25" s="107">
        <v>1128.2470000000001</v>
      </c>
      <c r="L25" s="107">
        <v>376.08229999999998</v>
      </c>
      <c r="M25" s="107">
        <v>376.08229999999998</v>
      </c>
      <c r="N25" s="111">
        <v>4270.3919999999998</v>
      </c>
    </row>
    <row r="26" spans="1:14" x14ac:dyDescent="0.25">
      <c r="A26" s="104" t="s">
        <v>447</v>
      </c>
      <c r="B26" t="s">
        <v>31</v>
      </c>
      <c r="C26" s="107">
        <v>0</v>
      </c>
      <c r="D26" s="107">
        <v>0</v>
      </c>
      <c r="E26" s="107">
        <v>0</v>
      </c>
      <c r="F26" s="107">
        <v>0</v>
      </c>
      <c r="G26" s="107">
        <v>0</v>
      </c>
      <c r="H26" s="107">
        <v>631.32569999999998</v>
      </c>
      <c r="I26" s="107">
        <v>1559.1016</v>
      </c>
      <c r="J26" s="107">
        <v>376.08229999999998</v>
      </c>
      <c r="K26" s="107">
        <v>1128.2470000000001</v>
      </c>
      <c r="L26" s="107">
        <v>376.08229999999998</v>
      </c>
      <c r="M26" s="107">
        <v>376.08229999999998</v>
      </c>
      <c r="N26" s="111">
        <v>4446.9211999999998</v>
      </c>
    </row>
    <row r="27" spans="1:14" x14ac:dyDescent="0.25">
      <c r="A27" s="104" t="s">
        <v>447</v>
      </c>
      <c r="B27" t="s">
        <v>32</v>
      </c>
      <c r="C27" s="107">
        <v>0</v>
      </c>
      <c r="D27" s="107">
        <v>0</v>
      </c>
      <c r="E27" s="107">
        <v>0</v>
      </c>
      <c r="F27" s="107">
        <v>0</v>
      </c>
      <c r="G27" s="107">
        <v>165.47620000000001</v>
      </c>
      <c r="H27" s="107">
        <v>631.32569999999998</v>
      </c>
      <c r="I27" s="107">
        <v>1559.1016</v>
      </c>
      <c r="J27" s="107">
        <v>376.08229999999998</v>
      </c>
      <c r="K27" s="107">
        <v>1128.2470000000001</v>
      </c>
      <c r="L27" s="107">
        <v>376.08229999999998</v>
      </c>
      <c r="M27" s="107">
        <v>376.08229999999998</v>
      </c>
      <c r="N27" s="111">
        <v>4612.3973999999998</v>
      </c>
    </row>
    <row r="28" spans="1:14" x14ac:dyDescent="0.25">
      <c r="A28" s="104" t="s">
        <v>447</v>
      </c>
      <c r="B28" t="s">
        <v>33</v>
      </c>
      <c r="C28" s="107">
        <v>0</v>
      </c>
      <c r="D28" s="107">
        <v>0</v>
      </c>
      <c r="E28" s="107">
        <v>0</v>
      </c>
      <c r="F28" s="107">
        <v>0</v>
      </c>
      <c r="G28" s="107">
        <v>1559.1016</v>
      </c>
      <c r="H28" s="107">
        <v>631.32569999999998</v>
      </c>
      <c r="I28" s="107">
        <v>1405.1533999999999</v>
      </c>
      <c r="J28" s="107">
        <v>376.08229999999998</v>
      </c>
      <c r="K28" s="107">
        <v>1128.2470000000001</v>
      </c>
      <c r="L28" s="107">
        <v>376.08229999999998</v>
      </c>
      <c r="M28" s="107">
        <v>376.08229999999998</v>
      </c>
      <c r="N28" s="111">
        <v>5852.0745999999999</v>
      </c>
    </row>
    <row r="29" spans="1:14" x14ac:dyDescent="0.25">
      <c r="A29" s="104" t="s">
        <v>447</v>
      </c>
      <c r="B29" t="s">
        <v>34</v>
      </c>
      <c r="C29" s="107">
        <v>0</v>
      </c>
      <c r="D29" s="107">
        <v>0</v>
      </c>
      <c r="E29" s="107">
        <v>0</v>
      </c>
      <c r="F29" s="107">
        <v>0</v>
      </c>
      <c r="G29" s="107">
        <v>398.27080000000001</v>
      </c>
      <c r="H29" s="107">
        <v>631.32569999999998</v>
      </c>
      <c r="I29" s="107">
        <v>1559.1016</v>
      </c>
      <c r="J29" s="107">
        <v>376.08229999999998</v>
      </c>
      <c r="K29" s="107">
        <v>1128.2470000000001</v>
      </c>
      <c r="L29" s="107">
        <v>376.08229999999998</v>
      </c>
      <c r="M29" s="107">
        <v>376.08229999999998</v>
      </c>
      <c r="N29" s="111">
        <v>4845.192</v>
      </c>
    </row>
    <row r="30" spans="1:14" x14ac:dyDescent="0.25">
      <c r="A30" s="104" t="s">
        <v>447</v>
      </c>
      <c r="B30" t="s">
        <v>35</v>
      </c>
      <c r="C30" s="107">
        <v>0</v>
      </c>
      <c r="D30" s="107">
        <v>0</v>
      </c>
      <c r="E30" s="107">
        <v>0</v>
      </c>
      <c r="F30" s="107">
        <v>0</v>
      </c>
      <c r="G30" s="107">
        <v>0</v>
      </c>
      <c r="H30" s="107">
        <v>631.32569999999998</v>
      </c>
      <c r="I30" s="107">
        <v>1394.8893</v>
      </c>
      <c r="J30" s="107">
        <v>376.08229999999998</v>
      </c>
      <c r="K30" s="107">
        <v>1128.2470000000001</v>
      </c>
      <c r="L30" s="107">
        <v>376.08229999999998</v>
      </c>
      <c r="M30" s="107">
        <v>376.08229999999998</v>
      </c>
      <c r="N30" s="111">
        <v>4282.7089000000005</v>
      </c>
    </row>
    <row r="31" spans="1:14" x14ac:dyDescent="0.25">
      <c r="A31" s="104" t="s">
        <v>447</v>
      </c>
      <c r="B31" t="s">
        <v>36</v>
      </c>
      <c r="C31" s="107">
        <v>0</v>
      </c>
      <c r="D31" s="107">
        <v>0</v>
      </c>
      <c r="E31" s="107">
        <v>0</v>
      </c>
      <c r="F31" s="107">
        <v>0</v>
      </c>
      <c r="G31" s="107">
        <v>0</v>
      </c>
      <c r="H31" s="107">
        <v>631.32569999999998</v>
      </c>
      <c r="I31" s="107">
        <v>1526.6333999999999</v>
      </c>
      <c r="J31" s="107">
        <v>376.08229999999998</v>
      </c>
      <c r="K31" s="107">
        <v>1128.2470000000001</v>
      </c>
      <c r="L31" s="107">
        <v>376.08229999999998</v>
      </c>
      <c r="M31" s="107">
        <v>376.08229999999998</v>
      </c>
      <c r="N31" s="111">
        <v>4414.4530000000004</v>
      </c>
    </row>
    <row r="32" spans="1:14" x14ac:dyDescent="0.25">
      <c r="A32" s="104" t="s">
        <v>447</v>
      </c>
      <c r="B32" t="s">
        <v>37</v>
      </c>
      <c r="C32" s="107">
        <v>779.55079999999998</v>
      </c>
      <c r="D32" s="107">
        <v>0</v>
      </c>
      <c r="E32" s="107">
        <v>0</v>
      </c>
      <c r="F32" s="107">
        <v>0</v>
      </c>
      <c r="G32" s="107">
        <v>773.64570000000003</v>
      </c>
      <c r="H32" s="107">
        <v>631.32569999999998</v>
      </c>
      <c r="I32" s="107">
        <v>396.76650000000001</v>
      </c>
      <c r="J32" s="107">
        <v>376.08229999999998</v>
      </c>
      <c r="K32" s="107">
        <v>1128.2470000000001</v>
      </c>
      <c r="L32" s="107">
        <v>376.08229999999998</v>
      </c>
      <c r="M32" s="107">
        <v>376.08229999999998</v>
      </c>
      <c r="N32" s="111">
        <v>4837.7826000000005</v>
      </c>
    </row>
    <row r="33" spans="1:14" x14ac:dyDescent="0.25">
      <c r="A33" s="104" t="s">
        <v>447</v>
      </c>
      <c r="B33" t="s">
        <v>39</v>
      </c>
      <c r="C33" s="107">
        <v>0</v>
      </c>
      <c r="D33" s="107">
        <v>210.27699999999999</v>
      </c>
      <c r="E33" s="107">
        <v>0</v>
      </c>
      <c r="F33" s="107">
        <v>0</v>
      </c>
      <c r="G33" s="107">
        <v>0</v>
      </c>
      <c r="H33" s="107">
        <v>631.32569999999998</v>
      </c>
      <c r="I33" s="107">
        <v>1286.1094000000001</v>
      </c>
      <c r="J33" s="107">
        <v>376.08229999999998</v>
      </c>
      <c r="K33" s="107">
        <v>1128.2470000000001</v>
      </c>
      <c r="L33" s="107">
        <v>376.08229999999998</v>
      </c>
      <c r="M33" s="107">
        <v>376.08229999999998</v>
      </c>
      <c r="N33" s="111">
        <v>4384.2060000000001</v>
      </c>
    </row>
    <row r="34" spans="1:14" x14ac:dyDescent="0.25">
      <c r="A34" s="104" t="s">
        <v>447</v>
      </c>
      <c r="B34" t="s">
        <v>40</v>
      </c>
      <c r="C34" s="107">
        <v>0</v>
      </c>
      <c r="D34" s="107">
        <v>0</v>
      </c>
      <c r="E34" s="107">
        <v>0</v>
      </c>
      <c r="F34" s="107">
        <v>0</v>
      </c>
      <c r="G34" s="107">
        <v>261.75330000000002</v>
      </c>
      <c r="H34" s="107">
        <v>631.32569999999998</v>
      </c>
      <c r="I34" s="107">
        <v>1536.9623999999999</v>
      </c>
      <c r="J34" s="107">
        <v>376.08229999999998</v>
      </c>
      <c r="K34" s="107">
        <v>1128.2470000000001</v>
      </c>
      <c r="L34" s="107">
        <v>376.08229999999998</v>
      </c>
      <c r="M34" s="107">
        <v>376.08229999999998</v>
      </c>
      <c r="N34" s="111">
        <v>4686.5353000000005</v>
      </c>
    </row>
    <row r="35" spans="1:14" x14ac:dyDescent="0.25">
      <c r="A35" s="104" t="s">
        <v>447</v>
      </c>
      <c r="B35" t="s">
        <v>41</v>
      </c>
      <c r="C35" s="107">
        <v>779.55079999999998</v>
      </c>
      <c r="D35" s="107">
        <v>0</v>
      </c>
      <c r="E35" s="107">
        <v>0</v>
      </c>
      <c r="F35" s="107">
        <v>248.21430000000001</v>
      </c>
      <c r="G35" s="107">
        <v>269.23200000000003</v>
      </c>
      <c r="H35" s="107">
        <v>631.32569999999998</v>
      </c>
      <c r="I35" s="107">
        <v>167.73269999999999</v>
      </c>
      <c r="J35" s="107">
        <v>376.08229999999998</v>
      </c>
      <c r="K35" s="107">
        <v>1128.2470000000001</v>
      </c>
      <c r="L35" s="107">
        <v>376.08229999999998</v>
      </c>
      <c r="M35" s="107">
        <v>376.08229999999998</v>
      </c>
      <c r="N35" s="111">
        <v>4352.5493999999999</v>
      </c>
    </row>
    <row r="36" spans="1:14" x14ac:dyDescent="0.25">
      <c r="A36" s="104" t="s">
        <v>447</v>
      </c>
      <c r="B36" t="s">
        <v>42</v>
      </c>
      <c r="C36" s="107">
        <v>0</v>
      </c>
      <c r="D36" s="107">
        <v>0</v>
      </c>
      <c r="E36" s="107">
        <v>0</v>
      </c>
      <c r="F36" s="107">
        <v>1487.383</v>
      </c>
      <c r="G36" s="107">
        <v>0</v>
      </c>
      <c r="H36" s="107">
        <v>631.32569999999998</v>
      </c>
      <c r="I36" s="107">
        <v>1559.1016</v>
      </c>
      <c r="J36" s="107">
        <v>376.08229999999998</v>
      </c>
      <c r="K36" s="107">
        <v>1128.2470000000001</v>
      </c>
      <c r="L36" s="107">
        <v>376.08229999999998</v>
      </c>
      <c r="M36" s="107">
        <v>376.08229999999998</v>
      </c>
      <c r="N36" s="111">
        <v>5934.3042000000005</v>
      </c>
    </row>
    <row r="37" spans="1:14" x14ac:dyDescent="0.25">
      <c r="A37" t="s">
        <v>450</v>
      </c>
      <c r="C37" s="107">
        <v>1747.1428000000001</v>
      </c>
      <c r="D37" s="107">
        <v>210.27699999999999</v>
      </c>
      <c r="E37" s="107">
        <v>0</v>
      </c>
      <c r="F37" s="107">
        <v>2299.7208000000001</v>
      </c>
      <c r="G37" s="107">
        <v>6339.6572000000006</v>
      </c>
      <c r="H37" s="107">
        <v>11995.188299999998</v>
      </c>
      <c r="I37" s="107">
        <v>24538.630599999997</v>
      </c>
      <c r="J37" s="107">
        <v>7145.5636999999997</v>
      </c>
      <c r="K37" s="107">
        <v>21436.692999999996</v>
      </c>
      <c r="L37" s="107">
        <v>7145.5636999999997</v>
      </c>
      <c r="M37" s="107">
        <v>7145.5636999999997</v>
      </c>
      <c r="N37" s="111">
        <v>90004.000800000009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1E5B4-32A0-44A1-B4AF-0417518D754A}">
  <sheetPr codeName="Planilha3">
    <tabColor theme="9" tint="0.39997558519241921"/>
  </sheetPr>
  <dimension ref="A1:AO12"/>
  <sheetViews>
    <sheetView showGridLines="0" workbookViewId="0">
      <pane xSplit="2" ySplit="6" topLeftCell="AC7" activePane="bottomRight" state="frozen"/>
      <selection activeCell="A35" sqref="A35"/>
      <selection pane="topRight" activeCell="A35" sqref="A35"/>
      <selection pane="bottomLeft" activeCell="A35" sqref="A35"/>
      <selection pane="bottomRight" activeCell="A7" sqref="A7"/>
    </sheetView>
  </sheetViews>
  <sheetFormatPr defaultRowHeight="15" x14ac:dyDescent="0.25"/>
  <cols>
    <col min="1" max="1" width="37.140625" style="16" bestFit="1" customWidth="1"/>
    <col min="2" max="2" width="32.7109375" style="16" bestFit="1" customWidth="1"/>
    <col min="3" max="3" width="12.85546875" style="16" bestFit="1" customWidth="1"/>
    <col min="4" max="4" width="17.140625" style="16" bestFit="1" customWidth="1"/>
    <col min="5" max="5" width="18.5703125" style="16" bestFit="1" customWidth="1"/>
    <col min="6" max="6" width="18.140625" style="16" bestFit="1" customWidth="1"/>
    <col min="7" max="7" width="16.85546875" style="16" bestFit="1" customWidth="1"/>
    <col min="8" max="8" width="18.85546875" style="16" bestFit="1" customWidth="1"/>
    <col min="9" max="9" width="18.7109375" style="16" bestFit="1" customWidth="1"/>
    <col min="10" max="10" width="23.140625" style="16" bestFit="1" customWidth="1"/>
    <col min="11" max="11" width="22.7109375" style="16" bestFit="1" customWidth="1"/>
    <col min="12" max="12" width="21.42578125" style="16" bestFit="1" customWidth="1"/>
    <col min="13" max="13" width="23.42578125" style="16" bestFit="1" customWidth="1"/>
    <col min="14" max="14" width="23.28515625" style="16" bestFit="1" customWidth="1"/>
    <col min="15" max="15" width="23.5703125" style="1" bestFit="1" customWidth="1"/>
    <col min="16" max="16" width="23.140625" style="1" bestFit="1" customWidth="1"/>
    <col min="17" max="17" width="22" style="1" bestFit="1" customWidth="1"/>
    <col min="18" max="18" width="23.85546875" style="1" bestFit="1" customWidth="1"/>
    <col min="19" max="19" width="23.7109375" style="1" bestFit="1" customWidth="1"/>
    <col min="20" max="20" width="21" style="1" bestFit="1" customWidth="1"/>
    <col min="21" max="21" width="20.5703125" style="1" bestFit="1" customWidth="1"/>
    <col min="22" max="22" width="19.42578125" style="1" bestFit="1" customWidth="1"/>
    <col min="23" max="23" width="21.28515625" style="1" bestFit="1" customWidth="1"/>
    <col min="24" max="24" width="21.140625" style="1" bestFit="1" customWidth="1"/>
    <col min="25" max="25" width="15.7109375" style="1" bestFit="1" customWidth="1"/>
    <col min="26" max="26" width="15.42578125" style="1" bestFit="1" customWidth="1"/>
    <col min="27" max="27" width="20.7109375" style="1" bestFit="1" customWidth="1"/>
    <col min="28" max="28" width="18.28515625" style="1" bestFit="1" customWidth="1"/>
    <col min="29" max="29" width="16.5703125" style="16" bestFit="1" customWidth="1"/>
    <col min="30" max="30" width="11.42578125" style="16" bestFit="1" customWidth="1"/>
    <col min="31" max="31" width="20.85546875" style="16" bestFit="1" customWidth="1"/>
    <col min="32" max="32" width="18.42578125" style="16" bestFit="1" customWidth="1"/>
    <col min="33" max="33" width="27.7109375" style="16" bestFit="1" customWidth="1"/>
    <col min="34" max="34" width="25.140625" style="16" bestFit="1" customWidth="1"/>
    <col min="35" max="35" width="28.28515625" style="16" bestFit="1" customWidth="1"/>
    <col min="36" max="36" width="25.7109375" style="16" bestFit="1" customWidth="1"/>
    <col min="37" max="37" width="21.85546875" style="16" bestFit="1" customWidth="1"/>
    <col min="38" max="38" width="19.28515625" style="16" bestFit="1" customWidth="1"/>
    <col min="39" max="39" width="25.5703125" style="16" bestFit="1" customWidth="1"/>
    <col min="40" max="40" width="23.140625" style="16" bestFit="1" customWidth="1"/>
    <col min="41" max="41" width="14.5703125" style="16" bestFit="1" customWidth="1"/>
    <col min="42" max="16384" width="9.140625" style="16"/>
  </cols>
  <sheetData>
    <row r="1" spans="1:41" ht="18.75" x14ac:dyDescent="0.3">
      <c r="A1" s="7" t="s">
        <v>194</v>
      </c>
      <c r="E1" s="17">
        <v>66</v>
      </c>
      <c r="F1" s="17">
        <v>64</v>
      </c>
      <c r="G1" s="17">
        <v>62</v>
      </c>
      <c r="H1" s="17">
        <v>73</v>
      </c>
      <c r="I1" s="17">
        <v>70</v>
      </c>
      <c r="J1" s="17">
        <v>66</v>
      </c>
      <c r="K1" s="17">
        <v>64</v>
      </c>
      <c r="L1" s="17">
        <v>62</v>
      </c>
      <c r="M1" s="17">
        <v>73</v>
      </c>
      <c r="N1" s="17">
        <v>70</v>
      </c>
      <c r="P1" s="26" t="s">
        <v>195</v>
      </c>
      <c r="Q1" s="36">
        <f>MIN(Valores_Gerentes['#PK-Cobertura])</f>
        <v>0.79500000000000004</v>
      </c>
      <c r="T1" s="14">
        <v>3</v>
      </c>
      <c r="U1" s="14">
        <v>4</v>
      </c>
      <c r="V1" s="14">
        <v>5</v>
      </c>
      <c r="W1" s="14">
        <v>6</v>
      </c>
      <c r="X1" s="14">
        <v>7</v>
      </c>
      <c r="AA1" s="49" t="s">
        <v>223</v>
      </c>
      <c r="AB1" s="14">
        <v>8</v>
      </c>
      <c r="AF1" s="14">
        <v>9</v>
      </c>
      <c r="AH1" s="14">
        <v>10</v>
      </c>
      <c r="AJ1" s="14">
        <v>11</v>
      </c>
      <c r="AL1" s="14">
        <v>12</v>
      </c>
      <c r="AN1" s="14">
        <v>13</v>
      </c>
    </row>
    <row r="2" spans="1:41" x14ac:dyDescent="0.25">
      <c r="E2" s="25" t="str">
        <f>IFERROR(VLOOKUP(E1,Produtos_Linhas[],2,0),"Erro")</f>
        <v>BERINERT</v>
      </c>
      <c r="F2" s="25" t="str">
        <f>IFERROR(VLOOKUP(F1,Produtos_Linhas[],2,0),"Erro")</f>
        <v>BERIPLEX</v>
      </c>
      <c r="G2" s="25" t="str">
        <f>IFERROR(VLOOKUP(G1,Produtos_Linhas[],2,0),"Erro")</f>
        <v>HAEMO</v>
      </c>
      <c r="H2" s="25" t="str">
        <f>IFERROR(VLOOKUP(H1,Produtos_Linhas[],2,0),"Erro")</f>
        <v>HIZENTRA</v>
      </c>
      <c r="I2" s="25" t="str">
        <f>IFERROR(VLOOKUP(I1,Produtos_Linhas[],2,0),"Erro")</f>
        <v>PRIVIGEN</v>
      </c>
      <c r="J2" s="25" t="str">
        <f>IFERROR(VLOOKUP(J1,Produtos_Linhas[],2,0),"Erro")</f>
        <v>BERINERT</v>
      </c>
      <c r="K2" s="25" t="str">
        <f>IFERROR(VLOOKUP(K1,Produtos_Linhas[],2,0),"Erro")</f>
        <v>BERIPLEX</v>
      </c>
      <c r="L2" s="25" t="str">
        <f>IFERROR(VLOOKUP(L1,Produtos_Linhas[],2,0),"Erro")</f>
        <v>HAEMO</v>
      </c>
      <c r="M2" s="25" t="str">
        <f>IFERROR(VLOOKUP(M1,Produtos_Linhas[],2,0),"Erro")</f>
        <v>HIZENTRA</v>
      </c>
      <c r="N2" s="25" t="str">
        <f>IFERROR(VLOOKUP(N1,Produtos_Linhas[],2,0),"Erro")</f>
        <v>PRIVIGEN</v>
      </c>
      <c r="T2" s="25" t="str">
        <f ca="1">OFFSET(Valores_Gerentes[#Headers],0,T1-1,1,1)</f>
        <v>05.00%-Demanda-BERINERT</v>
      </c>
      <c r="U2" s="25" t="str">
        <f ca="1">OFFSET(Valores_Gerentes[#Headers],0,U1-1,1,1)</f>
        <v>02.50%-Demanda-BERIPLEX</v>
      </c>
      <c r="V2" s="25" t="str">
        <f ca="1">OFFSET(Valores_Gerentes[#Headers],0,V1-1,1,1)</f>
        <v>02.50%-Demanda-HAEMO</v>
      </c>
      <c r="W2" s="25" t="str">
        <f ca="1">OFFSET(Valores_Gerentes[#Headers],0,W1-1,1,1)</f>
        <v>10.00%-Demanda-HIZENTRA</v>
      </c>
      <c r="X2" s="25" t="str">
        <f ca="1">OFFSET(Valores_Gerentes[#Headers],0,X1-1,1,1)</f>
        <v>05.00%-Demanda-PRIVIGEN</v>
      </c>
      <c r="AA2" s="49" t="s">
        <v>365</v>
      </c>
      <c r="AB2" s="25" t="str">
        <f ca="1">OFFSET(Valores_Gerentes[#Headers],0,AB1-1,1,1)</f>
        <v>05.00%-Venda</v>
      </c>
      <c r="AF2" s="25" t="str">
        <f ca="1">OFFSET(Valores_Gerentes[#Headers],0,AF1-1,1,1)</f>
        <v>10.00%-Visitas</v>
      </c>
      <c r="AH2" s="25" t="str">
        <f ca="1">OFFSET(Valores_Gerentes[#Headers],0,AH1-1,1,1)</f>
        <v>10.00%-Connect-MInd</v>
      </c>
      <c r="AJ2" s="25" t="str">
        <f ca="1">OFFSET(Valores_Gerentes[#Headers],0,AJ1-1,1,1)</f>
        <v>30.00%-Gerente-Contas</v>
      </c>
      <c r="AL2" s="25" t="str">
        <f ca="1">OFFSET(Valores_Gerentes[#Headers],0,AL1-1,1,1)</f>
        <v>10.00%-Plateau</v>
      </c>
      <c r="AN2" s="25" t="str">
        <f ca="1">OFFSET(Valores_Gerentes[#Headers],0,AN1-1,1,1)</f>
        <v>10.00%-Compliance</v>
      </c>
    </row>
    <row r="3" spans="1:41" x14ac:dyDescent="0.25">
      <c r="E3" s="30">
        <f>SUM(Gerentes_IV[Cota BERINERT])</f>
        <v>397.6</v>
      </c>
      <c r="F3" s="30">
        <f>SUM(Gerentes_IV[Cota BERIPLEX])</f>
        <v>2150</v>
      </c>
      <c r="G3" s="30">
        <f>SUM(Gerentes_IV[Cota HAEMO])</f>
        <v>2100</v>
      </c>
      <c r="H3" s="30">
        <f>SUM(Gerentes_IV[Cota HIZENTRA])</f>
        <v>7900</v>
      </c>
      <c r="I3" s="30">
        <f>SUM(Gerentes_IV[Cota PRIVIGEN])</f>
        <v>68016.67</v>
      </c>
      <c r="J3" s="30">
        <f>SUM(Gerentes_IV[Demanda BERINERT])</f>
        <v>488</v>
      </c>
      <c r="K3" s="30">
        <f>SUM(Gerentes_IV[Demanda BERIPLEX])</f>
        <v>1154</v>
      </c>
      <c r="L3" s="30">
        <f>SUM(Gerentes_IV[Demanda HAEMO])</f>
        <v>691</v>
      </c>
      <c r="M3" s="30">
        <f>SUM(Gerentes_IV[Demanda HIZENTRA])</f>
        <v>6318</v>
      </c>
      <c r="N3" s="30">
        <f>SUM(Gerentes_IV[Demanda PRIVIGEN])</f>
        <v>76000</v>
      </c>
      <c r="O3" s="35">
        <f>ROUNDUP(J3/E3,3)</f>
        <v>1.228</v>
      </c>
      <c r="P3" s="35">
        <f t="shared" ref="P3:S4" si="0">ROUNDUP(K3/F3,3)</f>
        <v>0.53700000000000003</v>
      </c>
      <c r="Q3" s="35">
        <f t="shared" si="0"/>
        <v>0.33</v>
      </c>
      <c r="R3" s="35">
        <f t="shared" si="0"/>
        <v>0.8</v>
      </c>
      <c r="S3" s="35">
        <f t="shared" si="0"/>
        <v>1.1179999999999999</v>
      </c>
      <c r="T3" s="63">
        <f>SUM(Gerentes_IV[Premio BERINERT])</f>
        <v>2138.4978999999998</v>
      </c>
      <c r="U3" s="63">
        <f>SUM(Gerentes_IV[Premio BERIPLEX])</f>
        <v>0</v>
      </c>
      <c r="V3" s="63">
        <f>SUM(Gerentes_IV[Premio HAEMO])</f>
        <v>0</v>
      </c>
      <c r="W3" s="63">
        <f>SUM(Gerentes_IV[Premio HIZENTRA])</f>
        <v>1487.1881000000001</v>
      </c>
      <c r="X3" s="63">
        <f>SUM(Gerentes_IV[Premio PRIVIGEN])</f>
        <v>1905.8108000000002</v>
      </c>
      <c r="AB3" s="63">
        <f>SUM(Gerentes_IV[Premio Venda])</f>
        <v>2840.9657999999999</v>
      </c>
      <c r="AC3" s="30">
        <f>SUM(Gerentes_IV[Meta Visitas])</f>
        <v>1700</v>
      </c>
      <c r="AD3" s="30">
        <f>SUM(Gerentes_IV[Visitas])</f>
        <v>2330</v>
      </c>
      <c r="AE3" s="35">
        <f>IFERROR(ROUNDUP(AD3/AC3,3),"Erro")</f>
        <v>1.371</v>
      </c>
      <c r="AF3" s="63">
        <f>SUM(Gerentes_IV[Premio Visitas])</f>
        <v>6369.6513000000014</v>
      </c>
      <c r="AG3" s="35">
        <f>AVERAGE(Gerentes_IV[Cobertura Connect Mind])</f>
        <v>1</v>
      </c>
      <c r="AH3" s="63">
        <f>SUM(Gerentes_IV[Premio Connect Mind])</f>
        <v>1692.3705</v>
      </c>
      <c r="AI3" s="35">
        <f>AVERAGE(Gerentes_IV[Cobertura Gerente Conta])</f>
        <v>1</v>
      </c>
      <c r="AJ3" s="63">
        <f>SUM(Gerentes_IV[Premio Gerente Conta])</f>
        <v>5077.1115</v>
      </c>
      <c r="AK3" s="35">
        <f>AVERAGE(Gerentes_IV[Cobertura Gerente Conta])</f>
        <v>1</v>
      </c>
      <c r="AL3" s="63">
        <f>SUM(Gerentes_IV[Premio Gerente Conta])</f>
        <v>5077.1115</v>
      </c>
      <c r="AM3" s="35">
        <f>AVERAGE(Gerentes_IV[Cobertura Gerente Conta])</f>
        <v>1</v>
      </c>
      <c r="AN3" s="63">
        <f>SUM(Gerentes_IV[Premio Compliance])</f>
        <v>1692.3705</v>
      </c>
      <c r="AO3" s="63">
        <f>SUM(Gerentes_IV[Premio Total])</f>
        <v>24896.336899999998</v>
      </c>
    </row>
    <row r="4" spans="1:41" x14ac:dyDescent="0.25">
      <c r="E4" s="31">
        <f>SUBTOTAL(9,Gerentes_IV[Cota BERINERT])</f>
        <v>397.6</v>
      </c>
      <c r="F4" s="31">
        <f>SUBTOTAL(9,Gerentes_IV[Cota BERIPLEX])</f>
        <v>2150</v>
      </c>
      <c r="G4" s="31">
        <f>SUBTOTAL(9,Gerentes_IV[Cota HAEMO])</f>
        <v>2100</v>
      </c>
      <c r="H4" s="31">
        <f>SUBTOTAL(9,Gerentes_IV[Cota HIZENTRA])</f>
        <v>7900</v>
      </c>
      <c r="I4" s="31">
        <f>SUBTOTAL(9,Gerentes_IV[Cota PRIVIGEN])</f>
        <v>68016.67</v>
      </c>
      <c r="J4" s="31">
        <f>SUBTOTAL(9,Gerentes_IV[Demanda BERINERT])</f>
        <v>488</v>
      </c>
      <c r="K4" s="31">
        <f>SUBTOTAL(9,Gerentes_IV[Demanda BERIPLEX])</f>
        <v>1154</v>
      </c>
      <c r="L4" s="31">
        <f>SUBTOTAL(9,Gerentes_IV[Demanda HAEMO])</f>
        <v>691</v>
      </c>
      <c r="M4" s="31">
        <f>SUBTOTAL(9,Gerentes_IV[Demanda HIZENTRA])</f>
        <v>6318</v>
      </c>
      <c r="N4" s="31">
        <f>SUBTOTAL(9,Gerentes_IV[Demanda PRIVIGEN])</f>
        <v>76000</v>
      </c>
      <c r="O4" s="35">
        <f>ROUNDUP(J4/E4,3)</f>
        <v>1.228</v>
      </c>
      <c r="P4" s="35">
        <f t="shared" si="0"/>
        <v>0.53700000000000003</v>
      </c>
      <c r="Q4" s="35">
        <f t="shared" si="0"/>
        <v>0.33</v>
      </c>
      <c r="R4" s="35">
        <f t="shared" si="0"/>
        <v>0.8</v>
      </c>
      <c r="S4" s="35">
        <f t="shared" si="0"/>
        <v>1.1179999999999999</v>
      </c>
      <c r="T4" s="64">
        <f>SUBTOTAL(9,Gerentes_IV[Premio BERINERT])</f>
        <v>2138.4978999999998</v>
      </c>
      <c r="U4" s="64">
        <f>SUBTOTAL(9,Gerentes_IV[Premio BERIPLEX])</f>
        <v>0</v>
      </c>
      <c r="V4" s="64">
        <f>SUBTOTAL(9,Gerentes_IV[Premio HAEMO])</f>
        <v>0</v>
      </c>
      <c r="W4" s="64">
        <f>SUBTOTAL(9,Gerentes_IV[Premio HIZENTRA])</f>
        <v>1487.1881000000001</v>
      </c>
      <c r="X4" s="64">
        <f>SUBTOTAL(9,Gerentes_IV[Premio PRIVIGEN])</f>
        <v>1905.8108000000002</v>
      </c>
      <c r="AB4" s="64">
        <f>SUBTOTAL(9,Gerentes_IV[Premio Venda])</f>
        <v>2840.9657999999999</v>
      </c>
      <c r="AC4" s="31">
        <f>SUBTOTAL(9,Gerentes_IV[Meta Visitas])</f>
        <v>1700</v>
      </c>
      <c r="AD4" s="31">
        <f>SUBTOTAL(9,Gerentes_IV[Visitas])</f>
        <v>2330</v>
      </c>
      <c r="AE4" s="35">
        <f>IFERROR(ROUNDUP(AD4/AC4,3),"Erro")</f>
        <v>1.371</v>
      </c>
      <c r="AF4" s="64">
        <f>SUBTOTAL(9,Gerentes_IV[Premio Visitas])</f>
        <v>6369.6513000000014</v>
      </c>
      <c r="AG4" s="35">
        <f>SUBTOTAL(1,Gerentes_IV[Cobertura Connect Mind])</f>
        <v>1</v>
      </c>
      <c r="AH4" s="64">
        <f>SUBTOTAL(9,Gerentes_IV[Premio Connect Mind])</f>
        <v>1692.3705</v>
      </c>
      <c r="AI4" s="35">
        <f>SUBTOTAL(1,Gerentes_IV[Cobertura Gerente Conta])</f>
        <v>1</v>
      </c>
      <c r="AJ4" s="64">
        <f>SUBTOTAL(9,Gerentes_IV[Premio Gerente Conta])</f>
        <v>5077.1115</v>
      </c>
      <c r="AK4" s="35">
        <f>SUBTOTAL(1,Gerentes_IV[Cobertura Gerente Conta])</f>
        <v>1</v>
      </c>
      <c r="AL4" s="64">
        <f>SUBTOTAL(9,Gerentes_IV[Premio Gerente Conta])</f>
        <v>5077.1115</v>
      </c>
      <c r="AM4" s="35">
        <f>SUBTOTAL(1,Gerentes_IV[Cobertura Gerente Conta])</f>
        <v>1</v>
      </c>
      <c r="AN4" s="64">
        <f>SUBTOTAL(9,Gerentes_IV[Premio Compliance])</f>
        <v>1692.3705</v>
      </c>
      <c r="AO4" s="64">
        <f>SUBTOTAL(9,Gerentes_IV[Premio Total])</f>
        <v>24896.336899999998</v>
      </c>
    </row>
    <row r="5" spans="1:41" customFormat="1" x14ac:dyDescent="0.25">
      <c r="A5" s="91">
        <v>1</v>
      </c>
      <c r="B5" s="91">
        <f>A5+1</f>
        <v>2</v>
      </c>
      <c r="C5" s="91">
        <f t="shared" ref="C5:AO5" si="1">B5+1</f>
        <v>3</v>
      </c>
      <c r="D5" s="91">
        <f t="shared" si="1"/>
        <v>4</v>
      </c>
      <c r="E5" s="91">
        <f t="shared" si="1"/>
        <v>5</v>
      </c>
      <c r="F5" s="91">
        <f t="shared" si="1"/>
        <v>6</v>
      </c>
      <c r="G5" s="91">
        <f t="shared" si="1"/>
        <v>7</v>
      </c>
      <c r="H5" s="91">
        <f t="shared" si="1"/>
        <v>8</v>
      </c>
      <c r="I5" s="91">
        <f t="shared" si="1"/>
        <v>9</v>
      </c>
      <c r="J5" s="91">
        <f t="shared" si="1"/>
        <v>10</v>
      </c>
      <c r="K5" s="91">
        <f t="shared" si="1"/>
        <v>11</v>
      </c>
      <c r="L5" s="91">
        <f t="shared" si="1"/>
        <v>12</v>
      </c>
      <c r="M5" s="91">
        <f t="shared" si="1"/>
        <v>13</v>
      </c>
      <c r="N5" s="91">
        <f t="shared" si="1"/>
        <v>14</v>
      </c>
      <c r="O5" s="91">
        <f t="shared" si="1"/>
        <v>15</v>
      </c>
      <c r="P5" s="91">
        <f t="shared" si="1"/>
        <v>16</v>
      </c>
      <c r="Q5" s="91">
        <f t="shared" si="1"/>
        <v>17</v>
      </c>
      <c r="R5" s="91">
        <f t="shared" si="1"/>
        <v>18</v>
      </c>
      <c r="S5" s="91">
        <f t="shared" si="1"/>
        <v>19</v>
      </c>
      <c r="T5" s="91">
        <f t="shared" si="1"/>
        <v>20</v>
      </c>
      <c r="U5" s="91">
        <f t="shared" si="1"/>
        <v>21</v>
      </c>
      <c r="V5" s="91">
        <f t="shared" si="1"/>
        <v>22</v>
      </c>
      <c r="W5" s="91">
        <f t="shared" si="1"/>
        <v>23</v>
      </c>
      <c r="X5" s="91">
        <f t="shared" si="1"/>
        <v>24</v>
      </c>
      <c r="Y5" s="91">
        <f t="shared" si="1"/>
        <v>25</v>
      </c>
      <c r="Z5" s="91">
        <f t="shared" si="1"/>
        <v>26</v>
      </c>
      <c r="AA5" s="91">
        <f t="shared" si="1"/>
        <v>27</v>
      </c>
      <c r="AB5" s="91">
        <f t="shared" si="1"/>
        <v>28</v>
      </c>
      <c r="AC5" s="91">
        <f t="shared" si="1"/>
        <v>29</v>
      </c>
      <c r="AD5" s="91">
        <f t="shared" si="1"/>
        <v>30</v>
      </c>
      <c r="AE5" s="91">
        <f t="shared" si="1"/>
        <v>31</v>
      </c>
      <c r="AF5" s="91">
        <f t="shared" si="1"/>
        <v>32</v>
      </c>
      <c r="AG5" s="91">
        <f t="shared" si="1"/>
        <v>33</v>
      </c>
      <c r="AH5" s="91">
        <f t="shared" si="1"/>
        <v>34</v>
      </c>
      <c r="AI5" s="91">
        <f t="shared" si="1"/>
        <v>35</v>
      </c>
      <c r="AJ5" s="91">
        <f t="shared" si="1"/>
        <v>36</v>
      </c>
      <c r="AK5" s="91">
        <f t="shared" si="1"/>
        <v>37</v>
      </c>
      <c r="AL5" s="91">
        <f t="shared" si="1"/>
        <v>38</v>
      </c>
      <c r="AM5" s="91">
        <f t="shared" si="1"/>
        <v>39</v>
      </c>
      <c r="AN5" s="91">
        <f t="shared" si="1"/>
        <v>40</v>
      </c>
      <c r="AO5" s="91">
        <f t="shared" si="1"/>
        <v>41</v>
      </c>
    </row>
    <row r="6" spans="1:41" x14ac:dyDescent="0.25">
      <c r="A6" s="16" t="s">
        <v>110</v>
      </c>
      <c r="B6" s="16" t="s">
        <v>151</v>
      </c>
      <c r="C6" s="19" t="s">
        <v>152</v>
      </c>
      <c r="D6" s="19" t="s">
        <v>153</v>
      </c>
      <c r="E6" s="12" t="s">
        <v>165</v>
      </c>
      <c r="F6" s="12" t="s">
        <v>166</v>
      </c>
      <c r="G6" s="12" t="s">
        <v>167</v>
      </c>
      <c r="H6" s="12" t="s">
        <v>168</v>
      </c>
      <c r="I6" s="13" t="s">
        <v>169</v>
      </c>
      <c r="J6" s="12" t="s">
        <v>178</v>
      </c>
      <c r="K6" s="12" t="s">
        <v>179</v>
      </c>
      <c r="L6" s="12" t="s">
        <v>180</v>
      </c>
      <c r="M6" s="12" t="s">
        <v>181</v>
      </c>
      <c r="N6" s="13" t="s">
        <v>182</v>
      </c>
      <c r="O6" s="19" t="s">
        <v>184</v>
      </c>
      <c r="P6" s="19" t="s">
        <v>185</v>
      </c>
      <c r="Q6" s="19" t="s">
        <v>186</v>
      </c>
      <c r="R6" s="19" t="s">
        <v>187</v>
      </c>
      <c r="S6" s="19" t="s">
        <v>188</v>
      </c>
      <c r="T6" s="19" t="s">
        <v>189</v>
      </c>
      <c r="U6" s="19" t="s">
        <v>190</v>
      </c>
      <c r="V6" s="19" t="s">
        <v>191</v>
      </c>
      <c r="W6" s="19" t="s">
        <v>192</v>
      </c>
      <c r="X6" s="19" t="s">
        <v>193</v>
      </c>
      <c r="Y6" s="19" t="s">
        <v>241</v>
      </c>
      <c r="Z6" s="19" t="s">
        <v>242</v>
      </c>
      <c r="AA6" s="19" t="s">
        <v>243</v>
      </c>
      <c r="AB6" s="19" t="s">
        <v>244</v>
      </c>
      <c r="AC6" s="19" t="s">
        <v>254</v>
      </c>
      <c r="AD6" s="19" t="s">
        <v>255</v>
      </c>
      <c r="AE6" s="19" t="s">
        <v>256</v>
      </c>
      <c r="AF6" s="19" t="s">
        <v>257</v>
      </c>
      <c r="AG6" s="19" t="s">
        <v>258</v>
      </c>
      <c r="AH6" s="19" t="s">
        <v>262</v>
      </c>
      <c r="AI6" s="34" t="s">
        <v>259</v>
      </c>
      <c r="AJ6" s="34" t="s">
        <v>263</v>
      </c>
      <c r="AK6" s="34" t="s">
        <v>260</v>
      </c>
      <c r="AL6" s="34" t="s">
        <v>264</v>
      </c>
      <c r="AM6" s="34" t="s">
        <v>261</v>
      </c>
      <c r="AN6" s="19" t="s">
        <v>265</v>
      </c>
      <c r="AO6" s="16" t="s">
        <v>266</v>
      </c>
    </row>
    <row r="7" spans="1:41" x14ac:dyDescent="0.25">
      <c r="A7" s="15" t="s">
        <v>112</v>
      </c>
      <c r="B7" s="18" t="s">
        <v>15</v>
      </c>
      <c r="C7" s="24" t="b">
        <v>1</v>
      </c>
      <c r="D7" s="24" t="b">
        <v>1</v>
      </c>
      <c r="E7" s="29">
        <f>SUMIFS(Cota_Demanda[Cota-Gerente],Cota_Demanda['#FK-Cod-Linha],'Gerentes-IV'!E$1,Cota_Demanda['#FK-Email-Gerente],Gerentes_IV[[#This Row],['#FK-Email-Gerente]])</f>
        <v>79.52</v>
      </c>
      <c r="F7" s="29">
        <f>SUMIFS(Cota_Demanda[Cota-Gerente],Cota_Demanda['#FK-Cod-Linha],'Gerentes-IV'!F$1,Cota_Demanda['#FK-Email-Gerente],Gerentes_IV[[#This Row],['#FK-Email-Gerente]])</f>
        <v>688</v>
      </c>
      <c r="G7" s="29">
        <f>SUMIFS(Cota_Demanda[Cota-Gerente],Cota_Demanda['#FK-Cod-Linha],'Gerentes-IV'!G$1,Cota_Demanda['#FK-Email-Gerente],Gerentes_IV[[#This Row],['#FK-Email-Gerente]])</f>
        <v>777</v>
      </c>
      <c r="H7" s="29">
        <f>SUMIFS(Cota_Demanda[Cota-Gerente],Cota_Demanda['#FK-Cod-Linha],'Gerentes-IV'!H$1,Cota_Demanda['#FK-Email-Gerente],Gerentes_IV[[#This Row],['#FK-Email-Gerente]])</f>
        <v>3239</v>
      </c>
      <c r="I7" s="29">
        <f>SUMIFS(Cota_Demanda[Cota-Gerente],Cota_Demanda['#FK-Cod-Linha],'Gerentes-IV'!I$1,Cota_Demanda['#FK-Email-Gerente],Gerentes_IV[[#This Row],['#FK-Email-Gerente]])</f>
        <v>28567</v>
      </c>
      <c r="J7" s="29">
        <f>SUMIFS(Demanda_IV_GR[Demanda-IV],Demanda_IV_GR['#FK-Cod-Linha],J$1,Demanda_IV_GR['#FK-Email-Gerente],Gerentes_IV[[#This Row],['#FK-Email-Gerente]])</f>
        <v>6</v>
      </c>
      <c r="K7" s="29">
        <f>SUMIFS(Demanda_IV_GR[Demanda-IV],Demanda_IV_GR['#FK-Cod-Linha],K$1,Demanda_IV_GR['#FK-Email-Gerente],Gerentes_IV[[#This Row],['#FK-Email-Gerente]])</f>
        <v>467</v>
      </c>
      <c r="L7" s="29">
        <f>SUMIFS(Demanda_IV_GR[Demanda-IV],Demanda_IV_GR['#FK-Cod-Linha],L$1,Demanda_IV_GR['#FK-Email-Gerente],Gerentes_IV[[#This Row],['#FK-Email-Gerente]])</f>
        <v>278</v>
      </c>
      <c r="M7" s="29">
        <f>SUMIFS(Demanda_IV_GR[Demanda-IV],Demanda_IV_GR['#FK-Cod-Linha],M$1,Demanda_IV_GR['#FK-Email-Gerente],Gerentes_IV[[#This Row],['#FK-Email-Gerente]])</f>
        <v>2188</v>
      </c>
      <c r="N7" s="29">
        <f>SUMIFS(Demanda_IV_GR[Demanda-IV],Demanda_IV_GR['#FK-Cod-Linha],N$1,Demanda_IV_GR['#FK-Email-Gerente],Gerentes_IV[[#This Row],['#FK-Email-Gerente]])</f>
        <v>27775</v>
      </c>
      <c r="O7" s="34">
        <f>IF(OR(Gerentes_IV[[#This Row],[@-Ativo]]=FALSE,Gerentes_IV[[#This Row],[@-Calculo-IV]]=FALSE),"-",IFERROR(ROUNDUP(IF(Gerentes_IV[[#This Row],[@-Calculo-IV]]=TRUE,IFERROR(Gerentes_IV[[#This Row],[Demanda BERINERT]]/Gerentes_IV[[#This Row],[Cota BERINERT]],0),0),3),"Erro"))</f>
        <v>7.5999999999999998E-2</v>
      </c>
      <c r="P7" s="34">
        <f>IF(OR(Gerentes_IV[[#This Row],[@-Ativo]]=FALSE,Gerentes_IV[[#This Row],[@-Calculo-IV]]=FALSE),"-",IFERROR(ROUNDUP(IF(Gerentes_IV[[#This Row],[@-Calculo-IV]]=TRUE,IFERROR(Gerentes_IV[[#This Row],[Demanda BERIPLEX]]/Gerentes_IV[[#This Row],[Cota BERIPLEX]],0),0),3),"Erro"))</f>
        <v>0.67900000000000005</v>
      </c>
      <c r="Q7" s="34">
        <f>IF(OR(Gerentes_IV[[#This Row],[@-Ativo]]=FALSE,Gerentes_IV[[#This Row],[@-Calculo-IV]]=FALSE),"-",IFERROR(ROUNDUP(IF(Gerentes_IV[[#This Row],[@-Calculo-IV]]=TRUE,IFERROR(Gerentes_IV[[#This Row],[Demanda HAEMO]]/Gerentes_IV[[#This Row],[Cota HAEMO]],0),0),3),"Erro"))</f>
        <v>0.35799999999999998</v>
      </c>
      <c r="R7" s="34">
        <f>IF(OR(Gerentes_IV[[#This Row],[@-Ativo]]=FALSE,Gerentes_IV[[#This Row],[@-Calculo-IV]]=FALSE),"-",IFERROR(ROUNDUP(IF(Gerentes_IV[[#This Row],[@-Calculo-IV]]=TRUE,IFERROR(Gerentes_IV[[#This Row],[Demanda HIZENTRA]]/Gerentes_IV[[#This Row],[Cota HIZENTRA]],0),0),3),"Erro"))</f>
        <v>0.67600000000000005</v>
      </c>
      <c r="S7" s="34">
        <f>IF(OR(Gerentes_IV[[#This Row],[@-Ativo]]=FALSE,Gerentes_IV[[#This Row],[@-Calculo-IV]]=FALSE),"-",IFERROR(ROUNDUP(IF(Gerentes_IV[[#This Row],[@-Calculo-IV]]=TRUE,IFERROR(Gerentes_IV[[#This Row],[Demanda PRIVIGEN]]/Gerentes_IV[[#This Row],[Cota PRIVIGEN]],0),0),3),"Erro"))</f>
        <v>0.97299999999999998</v>
      </c>
      <c r="T7" s="54">
        <f>IF(OR(Gerentes_IV[[#This Row],[@-Ativo]]=FALSE,Gerentes_IV[[#This Row],[@-Calculo-IV]]=FALSE),"-",IF(Gerentes_IV[[#This Row],[Cobertura BERINERT]]&lt;Cobertura_Minima_Gerente,0,IFERROR(VLOOKUP(Gerentes_IV[[#This Row],[Cobertura BERINERT]],Valores_Gerentes[],T$1,1),"Erro")))</f>
        <v>0</v>
      </c>
      <c r="U7" s="54">
        <f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f>
        <v>0</v>
      </c>
      <c r="V7" s="54">
        <f>IF(OR(Gerentes_IV[[#This Row],[@-Ativo]]=FALSE,Gerentes_IV[[#This Row],[@-Calculo-IV]]=FALSE),"-",IF(Gerentes_IV[[#This Row],[Cobertura HAEMO]]&lt;Cobertura_Minima_Gerente,0,IFERROR(VLOOKUP(Gerentes_IV[[#This Row],[Cobertura HAEMO]],Valores_Gerentes[],V$1,1),"Erro")))</f>
        <v>0</v>
      </c>
      <c r="W7" s="54">
        <f>IF(OR(Gerentes_IV[[#This Row],[@-Ativo]]=FALSE,Gerentes_IV[[#This Row],[@-Calculo-IV]]=FALSE),"-",IF(Gerentes_IV[[#This Row],[Cobertura HIZENTRA]]&lt;Cobertura_Minima_Gerente,0,IFERROR(VLOOKUP(Gerentes_IV[[#This Row],[Cobertura HIZENTRA]],Valores_Gerentes[],W$1,1),"Erro")))</f>
        <v>0</v>
      </c>
      <c r="X7" s="54">
        <f>IF(OR(Gerentes_IV[[#This Row],[@-Ativo]]=FALSE,Gerentes_IV[[#This Row],[@-Calculo-IV]]=FALSE),"-",IF(Gerentes_IV[[#This Row],[Cobertura PRIVIGEN]]&lt;Cobertura_Minima_Gerente,0,IFERROR(VLOOKUP(Gerentes_IV[[#This Row],[Cobertura PRIVIGEN]],Valores_Gerentes[],X$1,1),"Erro")))</f>
        <v>205.83459999999999</v>
      </c>
      <c r="Y7" s="54">
        <f>IF(OR(Gerentes_IV[[#This Row],[@-Ativo]]=FALSE,Gerentes_IV[[#This Row],[@-Calculo-IV]]=FALSE),"-",SUM(Cota_Venda[Cota-Venda]))</f>
        <v>24875647.060000017</v>
      </c>
      <c r="Z7" s="54">
        <f>IF(OR(Gerentes_IV[[#This Row],[@-Ativo]]=FALSE,Gerentes_IV[[#This Row],[@-Calculo-IV]]=FALSE),"-",SUMIFS(Venda[Venda-IV],Venda[@-Ministerio],FALSE))</f>
        <v>30797896.699999992</v>
      </c>
      <c r="AA7" s="34">
        <f>IF(OR(Gerentes_IV[[#This Row],[@-Ativo]]=FALSE,Gerentes_IV[[#This Row],[@-Calculo-IV]]=FALSE),"-",ROUNDUP(IFERROR(Gerentes_IV[[#This Row],[Venda]]/Gerentes_IV[[#This Row],[Cota Venda]],0),3))</f>
        <v>1.2389999999999999</v>
      </c>
      <c r="AB7" s="54">
        <f>IF(OR(Gerentes_IV[[#This Row],[@-Ativo]]=FALSE,Gerentes_IV[[#This Row],[@-Calculo-IV]]=FALSE),"-",IF(Gerentes_IV[[#This Row],[Cobertura Venda]]&lt;Cobertura_Minima_Gerente,0,IFERROR(VLOOKUP(Gerentes_IV[[#This Row],[Cobertura Venda]],Valores_Gerentes[],AB$1,1),"Erro")))</f>
        <v>946.98860000000002</v>
      </c>
      <c r="AC7" s="29">
        <f>SUMIFS(Visitas_Outros[Visitas-Meta],Visitas_Outros['#FK-Email-Gerente],Gerentes_IV[[#This Row],['#FK-Email-Gerente]])</f>
        <v>504</v>
      </c>
      <c r="AD7" s="95">
        <f>SUMIFS(Visitas_Outros[Visitas-Realizadas],Visitas_Outros['#FK-Email-Gerente],Gerentes_IV[[#This Row],['#FK-Email-Gerente]])</f>
        <v>731</v>
      </c>
      <c r="AE7" s="34">
        <f>IF(OR(Gerentes_IV[[#This Row],[@-Ativo]]=FALSE,Gerentes_IV[[#This Row],[@-Calculo-IV]]=FALSE),"-",ROUNDUP(IFERROR(Gerentes_IV[[#This Row],[Visitas]]/Gerentes_IV[[#This Row],[Meta Visitas]],0),3))</f>
        <v>1.4509999999999998</v>
      </c>
      <c r="AF7" s="54">
        <f>IF(OR(Gerentes_IV[[#This Row],[@-Ativo]]=FALSE,Gerentes_IV[[#This Row],[@-Calculo-IV]]=FALSE),"-",IF(Gerentes_IV[[#This Row],[Cobertura Visitas]]&lt;Cobertura_Minima_Gerente,0,IFERROR(VLOOKUP(Gerentes_IV[[#This Row],[Cobertura Visitas]],Valores_Gerentes[],AF$1,1),"Erro")))</f>
        <v>2246.5680000000002</v>
      </c>
      <c r="AG7" s="34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1</v>
      </c>
      <c r="AH7" s="54">
        <f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f>
        <v>564.12350000000004</v>
      </c>
      <c r="AI7" s="34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1</v>
      </c>
      <c r="AJ7" s="54">
        <f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f>
        <v>1692.3705</v>
      </c>
      <c r="AK7" s="34">
        <f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f>
        <v>1</v>
      </c>
      <c r="AL7" s="54">
        <f>IF(OR(Gerentes_IV[[#This Row],[@-Ativo]]=FALSE,Gerentes_IV[[#This Row],[@-Calculo-IV]]=FALSE),"-",IF(Gerentes_IV[[#This Row],[Cobertura Plateau]]&lt;Cobertura_Minima_Gerente,0,IFERROR(VLOOKUP(Gerentes_IV[[#This Row],[Cobertura Plateau]],Valores_Gerentes[],AL$1,1),"Erro")))</f>
        <v>564.12350000000004</v>
      </c>
      <c r="AM7" s="34">
        <f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f>
        <v>1</v>
      </c>
      <c r="AN7" s="54">
        <f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f>
        <v>564.12350000000004</v>
      </c>
      <c r="AO7" s="63">
        <f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f>
        <v>6784.1322</v>
      </c>
    </row>
    <row r="8" spans="1:41" x14ac:dyDescent="0.25">
      <c r="A8" s="15" t="s">
        <v>96</v>
      </c>
      <c r="B8" s="18" t="s">
        <v>16</v>
      </c>
      <c r="C8" s="24" t="b">
        <v>1</v>
      </c>
      <c r="D8" s="24" t="b">
        <v>1</v>
      </c>
      <c r="E8" s="29">
        <f>SUMIFS(Cota_Demanda[Cota-Gerente],Cota_Demanda['#FK-Cod-Linha],'Gerentes-IV'!E$1,Cota_Demanda['#FK-Email-Gerente],Gerentes_IV[[#This Row],['#FK-Email-Gerente]])</f>
        <v>119.28</v>
      </c>
      <c r="F8" s="29">
        <f>SUMIFS(Cota_Demanda[Cota-Gerente],Cota_Demanda['#FK-Cod-Linha],'Gerentes-IV'!F$1,Cota_Demanda['#FK-Email-Gerente],Gerentes_IV[[#This Row],['#FK-Email-Gerente]])</f>
        <v>860</v>
      </c>
      <c r="G8" s="29">
        <f>SUMIFS(Cota_Demanda[Cota-Gerente],Cota_Demanda['#FK-Cod-Linha],'Gerentes-IV'!G$1,Cota_Demanda['#FK-Email-Gerente],Gerentes_IV[[#This Row],['#FK-Email-Gerente]])</f>
        <v>588</v>
      </c>
      <c r="H8" s="29">
        <f>SUMIFS(Cota_Demanda[Cota-Gerente],Cota_Demanda['#FK-Cod-Linha],'Gerentes-IV'!H$1,Cota_Demanda['#FK-Email-Gerente],Gerentes_IV[[#This Row],['#FK-Email-Gerente]])</f>
        <v>1580</v>
      </c>
      <c r="I8" s="29">
        <f>SUMIFS(Cota_Demanda[Cota-Gerente],Cota_Demanda['#FK-Cod-Linha],'Gerentes-IV'!I$1,Cota_Demanda['#FK-Email-Gerente],Gerentes_IV[[#This Row],['#FK-Email-Gerente]])</f>
        <v>12923.17</v>
      </c>
      <c r="J8" s="29">
        <f>SUMIFS(Demanda_IV_GR[Demanda-IV],Demanda_IV_GR['#FK-Cod-Linha],J$1,Demanda_IV_GR['#FK-Email-Gerente],Gerentes_IV[[#This Row],['#FK-Email-Gerente]])</f>
        <v>230</v>
      </c>
      <c r="K8" s="29">
        <f>SUMIFS(Demanda_IV_GR[Demanda-IV],Demanda_IV_GR['#FK-Cod-Linha],K$1,Demanda_IV_GR['#FK-Email-Gerente],Gerentes_IV[[#This Row],['#FK-Email-Gerente]])</f>
        <v>310</v>
      </c>
      <c r="L8" s="29">
        <f>SUMIFS(Demanda_IV_GR[Demanda-IV],Demanda_IV_GR['#FK-Cod-Linha],L$1,Demanda_IV_GR['#FK-Email-Gerente],Gerentes_IV[[#This Row],['#FK-Email-Gerente]])</f>
        <v>123</v>
      </c>
      <c r="M8" s="29">
        <f>SUMIFS(Demanda_IV_GR[Demanda-IV],Demanda_IV_GR['#FK-Cod-Linha],M$1,Demanda_IV_GR['#FK-Email-Gerente],Gerentes_IV[[#This Row],['#FK-Email-Gerente]])</f>
        <v>1854</v>
      </c>
      <c r="N8" s="29">
        <f>SUMIFS(Demanda_IV_GR[Demanda-IV],Demanda_IV_GR['#FK-Cod-Linha],N$1,Demanda_IV_GR['#FK-Email-Gerente],Gerentes_IV[[#This Row],['#FK-Email-Gerente]])</f>
        <v>15302.5</v>
      </c>
      <c r="O8" s="34">
        <f>IF(OR(Gerentes_IV[[#This Row],[@-Ativo]]=FALSE,Gerentes_IV[[#This Row],[@-Calculo-IV]]=FALSE),"-",IFERROR(ROUNDUP(IF(Gerentes_IV[[#This Row],[@-Calculo-IV]]=TRUE,IFERROR(Gerentes_IV[[#This Row],[Demanda BERINERT]]/Gerentes_IV[[#This Row],[Cota BERINERT]],0),0),3),"Erro"))</f>
        <v>1.9289999999999998</v>
      </c>
      <c r="P8" s="34">
        <f>IF(OR(Gerentes_IV[[#This Row],[@-Ativo]]=FALSE,Gerentes_IV[[#This Row],[@-Calculo-IV]]=FALSE),"-",IFERROR(ROUNDUP(IF(Gerentes_IV[[#This Row],[@-Calculo-IV]]=TRUE,IFERROR(Gerentes_IV[[#This Row],[Demanda BERIPLEX]]/Gerentes_IV[[#This Row],[Cota BERIPLEX]],0),0),3),"Erro"))</f>
        <v>0.36099999999999999</v>
      </c>
      <c r="Q8" s="34">
        <f>IF(OR(Gerentes_IV[[#This Row],[@-Ativo]]=FALSE,Gerentes_IV[[#This Row],[@-Calculo-IV]]=FALSE),"-",IFERROR(ROUNDUP(IF(Gerentes_IV[[#This Row],[@-Calculo-IV]]=TRUE,IFERROR(Gerentes_IV[[#This Row],[Demanda HAEMO]]/Gerentes_IV[[#This Row],[Cota HAEMO]],0),0),3),"Erro"))</f>
        <v>0.21</v>
      </c>
      <c r="R8" s="34">
        <f>IF(OR(Gerentes_IV[[#This Row],[@-Ativo]]=FALSE,Gerentes_IV[[#This Row],[@-Calculo-IV]]=FALSE),"-",IFERROR(ROUNDUP(IF(Gerentes_IV[[#This Row],[@-Calculo-IV]]=TRUE,IFERROR(Gerentes_IV[[#This Row],[Demanda HIZENTRA]]/Gerentes_IV[[#This Row],[Cota HIZENTRA]],0),0),3),"Erro"))</f>
        <v>1.1739999999999999</v>
      </c>
      <c r="S8" s="34">
        <f>IF(OR(Gerentes_IV[[#This Row],[@-Ativo]]=FALSE,Gerentes_IV[[#This Row],[@-Calculo-IV]]=FALSE),"-",IFERROR(ROUNDUP(IF(Gerentes_IV[[#This Row],[@-Calculo-IV]]=TRUE,IFERROR(Gerentes_IV[[#This Row],[Demanda PRIVIGEN]]/Gerentes_IV[[#This Row],[Cota PRIVIGEN]],0),0),3),"Erro"))</f>
        <v>1.1849999999999998</v>
      </c>
      <c r="T8" s="54">
        <f>IF(OR(Gerentes_IV[[#This Row],[@-Ativo]]=FALSE,Gerentes_IV[[#This Row],[@-Calculo-IV]]=FALSE),"-",IF(Gerentes_IV[[#This Row],[Cobertura BERINERT]]&lt;Cobertura_Minima_Gerente,0,IFERROR(VLOOKUP(Gerentes_IV[[#This Row],[Cobertura BERINERT]],Valores_Gerentes[],T$1,1),"Erro")))</f>
        <v>1169.3262</v>
      </c>
      <c r="U8" s="54">
        <f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f>
        <v>0</v>
      </c>
      <c r="V8" s="54">
        <f>IF(OR(Gerentes_IV[[#This Row],[@-Ativo]]=FALSE,Gerentes_IV[[#This Row],[@-Calculo-IV]]=FALSE),"-",IF(Gerentes_IV[[#This Row],[Cobertura HAEMO]]&lt;Cobertura_Minima_Gerente,0,IFERROR(VLOOKUP(Gerentes_IV[[#This Row],[Cobertura HAEMO]],Valores_Gerentes[],V$1,1),"Erro")))</f>
        <v>0</v>
      </c>
      <c r="W8" s="54">
        <f>IF(OR(Gerentes_IV[[#This Row],[@-Ativo]]=FALSE,Gerentes_IV[[#This Row],[@-Calculo-IV]]=FALSE),"-",IF(Gerentes_IV[[#This Row],[Cobertura HIZENTRA]]&lt;Cobertura_Minima_Gerente,0,IFERROR(VLOOKUP(Gerentes_IV[[#This Row],[Cobertura HIZENTRA]],Valores_Gerentes[],W$1,1),"Erro")))</f>
        <v>1487.1881000000001</v>
      </c>
      <c r="X8" s="54">
        <f>IF(OR(Gerentes_IV[[#This Row],[@-Ativo]]=FALSE,Gerentes_IV[[#This Row],[@-Calculo-IV]]=FALSE),"-",IF(Gerentes_IV[[#This Row],[Cobertura PRIVIGEN]]&lt;Cobertura_Minima_Gerente,0,IFERROR(VLOOKUP(Gerentes_IV[[#This Row],[Cobertura PRIVIGEN]],Valores_Gerentes[],X$1,1),"Erro")))</f>
        <v>749.92790000000002</v>
      </c>
      <c r="Y8" s="54">
        <f>IF(OR(Gerentes_IV[[#This Row],[@-Ativo]]=FALSE,Gerentes_IV[[#This Row],[@-Calculo-IV]]=FALSE),"-",SUM(Cota_Venda[Cota-Venda]))</f>
        <v>24875647.060000017</v>
      </c>
      <c r="Z8" s="54">
        <f>IF(OR(Gerentes_IV[[#This Row],[@-Ativo]]=FALSE,Gerentes_IV[[#This Row],[@-Calculo-IV]]=FALSE),"-",SUMIFS(Venda[Venda-IV],Venda[@-Ministerio],FALSE))</f>
        <v>30797896.699999992</v>
      </c>
      <c r="AA8" s="34">
        <f>IF(OR(Gerentes_IV[[#This Row],[@-Ativo]]=FALSE,Gerentes_IV[[#This Row],[@-Calculo-IV]]=FALSE),"-",ROUNDUP(IFERROR(Gerentes_IV[[#This Row],[Venda]]/Gerentes_IV[[#This Row],[Cota Venda]],0),3))</f>
        <v>1.2389999999999999</v>
      </c>
      <c r="AB8" s="54">
        <f>IF(OR(Gerentes_IV[[#This Row],[@-Ativo]]=FALSE,Gerentes_IV[[#This Row],[@-Calculo-IV]]=FALSE),"-",IF(Gerentes_IV[[#This Row],[Cobertura Venda]]&lt;Cobertura_Minima_Gerente,0,IFERROR(VLOOKUP(Gerentes_IV[[#This Row],[Cobertura Venda]],Valores_Gerentes[],AB$1,1),"Erro")))</f>
        <v>946.98860000000002</v>
      </c>
      <c r="AC8" s="29">
        <f>SUMIFS(Visitas_Outros[Visitas-Meta],Visitas_Outros['#FK-Email-Gerente],Gerentes_IV[[#This Row],['#FK-Email-Gerente]])</f>
        <v>552</v>
      </c>
      <c r="AD8" s="95">
        <f>SUMIFS(Visitas_Outros[Visitas-Realizadas],Visitas_Outros['#FK-Email-Gerente],Gerentes_IV[[#This Row],['#FK-Email-Gerente]])</f>
        <v>751</v>
      </c>
      <c r="AE8" s="34">
        <f>IF(OR(Gerentes_IV[[#This Row],[@-Ativo]]=FALSE,Gerentes_IV[[#This Row],[@-Calculo-IV]]=FALSE),"-",ROUNDUP(IFERROR(Gerentes_IV[[#This Row],[Visitas]]/Gerentes_IV[[#This Row],[Meta Visitas]],0),3))</f>
        <v>1.361</v>
      </c>
      <c r="AF8" s="54">
        <f>IF(OR(Gerentes_IV[[#This Row],[@-Ativo]]=FALSE,Gerentes_IV[[#This Row],[@-Calculo-IV]]=FALSE),"-",IF(Gerentes_IV[[#This Row],[Cobertura Visitas]]&lt;Cobertura_Minima_Gerente,0,IFERROR(VLOOKUP(Gerentes_IV[[#This Row],[Cobertura Visitas]],Valores_Gerentes[],AF$1,1),"Erro")))</f>
        <v>2095.4131000000002</v>
      </c>
      <c r="AG8" s="34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1</v>
      </c>
      <c r="AH8" s="54">
        <f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f>
        <v>564.12350000000004</v>
      </c>
      <c r="AI8" s="34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1</v>
      </c>
      <c r="AJ8" s="54">
        <f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f>
        <v>1692.3705</v>
      </c>
      <c r="AK8" s="34">
        <f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f>
        <v>1</v>
      </c>
      <c r="AL8" s="54">
        <f>IF(OR(Gerentes_IV[[#This Row],[@-Ativo]]=FALSE,Gerentes_IV[[#This Row],[@-Calculo-IV]]=FALSE),"-",IF(Gerentes_IV[[#This Row],[Cobertura Plateau]]&lt;Cobertura_Minima_Gerente,0,IFERROR(VLOOKUP(Gerentes_IV[[#This Row],[Cobertura Plateau]],Valores_Gerentes[],AL$1,1),"Erro")))</f>
        <v>564.12350000000004</v>
      </c>
      <c r="AM8" s="34">
        <f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f>
        <v>1</v>
      </c>
      <c r="AN8" s="54">
        <f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f>
        <v>564.12350000000004</v>
      </c>
      <c r="AO8" s="63">
        <f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f>
        <v>9833.584899999998</v>
      </c>
    </row>
    <row r="9" spans="1:41" x14ac:dyDescent="0.25">
      <c r="A9" s="15" t="s">
        <v>94</v>
      </c>
      <c r="B9" s="18" t="s">
        <v>17</v>
      </c>
      <c r="C9" s="24" t="b">
        <v>1</v>
      </c>
      <c r="D9" s="24" t="b">
        <v>1</v>
      </c>
      <c r="E9" s="29">
        <f>SUMIFS(Cota_Demanda[Cota-Gerente],Cota_Demanda['#FK-Cod-Linha],'Gerentes-IV'!E$1,Cota_Demanda['#FK-Email-Gerente],Gerentes_IV[[#This Row],['#FK-Email-Gerente]])</f>
        <v>198.79999999999998</v>
      </c>
      <c r="F9" s="29">
        <f>SUMIFS(Cota_Demanda[Cota-Gerente],Cota_Demanda['#FK-Cod-Linha],'Gerentes-IV'!F$1,Cota_Demanda['#FK-Email-Gerente],Gerentes_IV[[#This Row],['#FK-Email-Gerente]])</f>
        <v>602</v>
      </c>
      <c r="G9" s="29">
        <f>SUMIFS(Cota_Demanda[Cota-Gerente],Cota_Demanda['#FK-Cod-Linha],'Gerentes-IV'!G$1,Cota_Demanda['#FK-Email-Gerente],Gerentes_IV[[#This Row],['#FK-Email-Gerente]])</f>
        <v>735</v>
      </c>
      <c r="H9" s="29">
        <f>SUMIFS(Cota_Demanda[Cota-Gerente],Cota_Demanda['#FK-Cod-Linha],'Gerentes-IV'!H$1,Cota_Demanda['#FK-Email-Gerente],Gerentes_IV[[#This Row],['#FK-Email-Gerente]])</f>
        <v>3081</v>
      </c>
      <c r="I9" s="29">
        <f>SUMIFS(Cota_Demanda[Cota-Gerente],Cota_Demanda['#FK-Cod-Linha],'Gerentes-IV'!I$1,Cota_Demanda['#FK-Email-Gerente],Gerentes_IV[[#This Row],['#FK-Email-Gerente]])</f>
        <v>26526.5</v>
      </c>
      <c r="J9" s="29">
        <f>SUMIFS(Demanda_IV_GR[Demanda-IV],Demanda_IV_GR['#FK-Cod-Linha],J$1,Demanda_IV_GR['#FK-Email-Gerente],Gerentes_IV[[#This Row],['#FK-Email-Gerente]])</f>
        <v>252</v>
      </c>
      <c r="K9" s="29">
        <f>SUMIFS(Demanda_IV_GR[Demanda-IV],Demanda_IV_GR['#FK-Cod-Linha],K$1,Demanda_IV_GR['#FK-Email-Gerente],Gerentes_IV[[#This Row],['#FK-Email-Gerente]])</f>
        <v>377</v>
      </c>
      <c r="L9" s="29">
        <f>SUMIFS(Demanda_IV_GR[Demanda-IV],Demanda_IV_GR['#FK-Cod-Linha],L$1,Demanda_IV_GR['#FK-Email-Gerente],Gerentes_IV[[#This Row],['#FK-Email-Gerente]])</f>
        <v>290</v>
      </c>
      <c r="M9" s="29">
        <f>SUMIFS(Demanda_IV_GR[Demanda-IV],Demanda_IV_GR['#FK-Cod-Linha],M$1,Demanda_IV_GR['#FK-Email-Gerente],Gerentes_IV[[#This Row],['#FK-Email-Gerente]])</f>
        <v>2276</v>
      </c>
      <c r="N9" s="29">
        <f>SUMIFS(Demanda_IV_GR[Demanda-IV],Demanda_IV_GR['#FK-Cod-Linha],N$1,Demanda_IV_GR['#FK-Email-Gerente],Gerentes_IV[[#This Row],['#FK-Email-Gerente]])</f>
        <v>32922.5</v>
      </c>
      <c r="O9" s="34">
        <f>IF(OR(Gerentes_IV[[#This Row],[@-Ativo]]=FALSE,Gerentes_IV[[#This Row],[@-Calculo-IV]]=FALSE),"-",IFERROR(ROUNDUP(IF(Gerentes_IV[[#This Row],[@-Calculo-IV]]=TRUE,IFERROR(Gerentes_IV[[#This Row],[Demanda BERINERT]]/Gerentes_IV[[#This Row],[Cota BERINERT]],0),0),3),"Erro"))</f>
        <v>1.2679999999999998</v>
      </c>
      <c r="P9" s="34">
        <f>IF(OR(Gerentes_IV[[#This Row],[@-Ativo]]=FALSE,Gerentes_IV[[#This Row],[@-Calculo-IV]]=FALSE),"-",IFERROR(ROUNDUP(IF(Gerentes_IV[[#This Row],[@-Calculo-IV]]=TRUE,IFERROR(Gerentes_IV[[#This Row],[Demanda BERIPLEX]]/Gerentes_IV[[#This Row],[Cota BERIPLEX]],0),0),3),"Erro"))</f>
        <v>0.627</v>
      </c>
      <c r="Q9" s="34">
        <f>IF(OR(Gerentes_IV[[#This Row],[@-Ativo]]=FALSE,Gerentes_IV[[#This Row],[@-Calculo-IV]]=FALSE),"-",IFERROR(ROUNDUP(IF(Gerentes_IV[[#This Row],[@-Calculo-IV]]=TRUE,IFERROR(Gerentes_IV[[#This Row],[Demanda HAEMO]]/Gerentes_IV[[#This Row],[Cota HAEMO]],0),0),3),"Erro"))</f>
        <v>0.39500000000000002</v>
      </c>
      <c r="R9" s="34">
        <f>IF(OR(Gerentes_IV[[#This Row],[@-Ativo]]=FALSE,Gerentes_IV[[#This Row],[@-Calculo-IV]]=FALSE),"-",IFERROR(ROUNDUP(IF(Gerentes_IV[[#This Row],[@-Calculo-IV]]=TRUE,IFERROR(Gerentes_IV[[#This Row],[Demanda HIZENTRA]]/Gerentes_IV[[#This Row],[Cota HIZENTRA]],0),0),3),"Erro"))</f>
        <v>0.73899999999999999</v>
      </c>
      <c r="S9" s="34">
        <f>IF(OR(Gerentes_IV[[#This Row],[@-Ativo]]=FALSE,Gerentes_IV[[#This Row],[@-Calculo-IV]]=FALSE),"-",IFERROR(ROUNDUP(IF(Gerentes_IV[[#This Row],[@-Calculo-IV]]=TRUE,IFERROR(Gerentes_IV[[#This Row],[Demanda PRIVIGEN]]/Gerentes_IV[[#This Row],[Cota PRIVIGEN]],0),0),3),"Erro"))</f>
        <v>1.242</v>
      </c>
      <c r="T9" s="54">
        <f>IF(OR(Gerentes_IV[[#This Row],[@-Ativo]]=FALSE,Gerentes_IV[[#This Row],[@-Calculo-IV]]=FALSE),"-",IF(Gerentes_IV[[#This Row],[Cobertura BERINERT]]&lt;Cobertura_Minima_Gerente,0,IFERROR(VLOOKUP(Gerentes_IV[[#This Row],[Cobertura BERINERT]],Valores_Gerentes[],T$1,1),"Erro")))</f>
        <v>969.17169999999999</v>
      </c>
      <c r="U9" s="54">
        <f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f>
        <v>0</v>
      </c>
      <c r="V9" s="54">
        <f>IF(OR(Gerentes_IV[[#This Row],[@-Ativo]]=FALSE,Gerentes_IV[[#This Row],[@-Calculo-IV]]=FALSE),"-",IF(Gerentes_IV[[#This Row],[Cobertura HAEMO]]&lt;Cobertura_Minima_Gerente,0,IFERROR(VLOOKUP(Gerentes_IV[[#This Row],[Cobertura HAEMO]],Valores_Gerentes[],V$1,1),"Erro")))</f>
        <v>0</v>
      </c>
      <c r="W9" s="54">
        <f>IF(OR(Gerentes_IV[[#This Row],[@-Ativo]]=FALSE,Gerentes_IV[[#This Row],[@-Calculo-IV]]=FALSE),"-",IF(Gerentes_IV[[#This Row],[Cobertura HIZENTRA]]&lt;Cobertura_Minima_Gerente,0,IFERROR(VLOOKUP(Gerentes_IV[[#This Row],[Cobertura HIZENTRA]],Valores_Gerentes[],W$1,1),"Erro")))</f>
        <v>0</v>
      </c>
      <c r="X9" s="54">
        <f>IF(OR(Gerentes_IV[[#This Row],[@-Ativo]]=FALSE,Gerentes_IV[[#This Row],[@-Calculo-IV]]=FALSE),"-",IF(Gerentes_IV[[#This Row],[Cobertura PRIVIGEN]]&lt;Cobertura_Minima_Gerente,0,IFERROR(VLOOKUP(Gerentes_IV[[#This Row],[Cobertura PRIVIGEN]],Valores_Gerentes[],X$1,1),"Erro")))</f>
        <v>950.04830000000004</v>
      </c>
      <c r="Y9" s="54">
        <f>IF(OR(Gerentes_IV[[#This Row],[@-Ativo]]=FALSE,Gerentes_IV[[#This Row],[@-Calculo-IV]]=FALSE),"-",SUM(Cota_Venda[Cota-Venda]))</f>
        <v>24875647.060000017</v>
      </c>
      <c r="Z9" s="54">
        <f>IF(OR(Gerentes_IV[[#This Row],[@-Ativo]]=FALSE,Gerentes_IV[[#This Row],[@-Calculo-IV]]=FALSE),"-",SUMIFS(Venda[Venda-IV],Venda[@-Ministerio],FALSE))</f>
        <v>30797896.699999992</v>
      </c>
      <c r="AA9" s="34">
        <f>IF(OR(Gerentes_IV[[#This Row],[@-Ativo]]=FALSE,Gerentes_IV[[#This Row],[@-Calculo-IV]]=FALSE),"-",ROUNDUP(IFERROR(Gerentes_IV[[#This Row],[Venda]]/Gerentes_IV[[#This Row],[Cota Venda]],0),3))</f>
        <v>1.2389999999999999</v>
      </c>
      <c r="AB9" s="54">
        <f>IF(OR(Gerentes_IV[[#This Row],[@-Ativo]]=FALSE,Gerentes_IV[[#This Row],[@-Calculo-IV]]=FALSE),"-",IF(Gerentes_IV[[#This Row],[Cobertura Venda]]&lt;Cobertura_Minima_Gerente,0,IFERROR(VLOOKUP(Gerentes_IV[[#This Row],[Cobertura Venda]],Valores_Gerentes[],AB$1,1),"Erro")))</f>
        <v>946.98860000000002</v>
      </c>
      <c r="AC9" s="29">
        <f>SUMIFS(Visitas_Outros[Visitas-Meta],Visitas_Outros['#FK-Email-Gerente],Gerentes_IV[[#This Row],['#FK-Email-Gerente]])</f>
        <v>644</v>
      </c>
      <c r="AD9" s="95">
        <f>SUMIFS(Visitas_Outros[Visitas-Realizadas],Visitas_Outros['#FK-Email-Gerente],Gerentes_IV[[#This Row],['#FK-Email-Gerente]])</f>
        <v>848</v>
      </c>
      <c r="AE9" s="34">
        <f>IF(OR(Gerentes_IV[[#This Row],[@-Ativo]]=FALSE,Gerentes_IV[[#This Row],[@-Calculo-IV]]=FALSE),"-",ROUNDUP(IFERROR(Gerentes_IV[[#This Row],[Visitas]]/Gerentes_IV[[#This Row],[Meta Visitas]],0),3))</f>
        <v>1.3169999999999999</v>
      </c>
      <c r="AF9" s="54">
        <f>IF(OR(Gerentes_IV[[#This Row],[@-Ativo]]=FALSE,Gerentes_IV[[#This Row],[@-Calculo-IV]]=FALSE),"-",IF(Gerentes_IV[[#This Row],[Cobertura Visitas]]&lt;Cobertura_Minima_Gerente,0,IFERROR(VLOOKUP(Gerentes_IV[[#This Row],[Cobertura Visitas]],Valores_Gerentes[],AF$1,1),"Erro")))</f>
        <v>2027.6702</v>
      </c>
      <c r="AG9" s="34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1</v>
      </c>
      <c r="AH9" s="54">
        <f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f>
        <v>564.12350000000004</v>
      </c>
      <c r="AI9" s="34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1</v>
      </c>
      <c r="AJ9" s="54">
        <f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f>
        <v>1692.3705</v>
      </c>
      <c r="AK9" s="34">
        <f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f>
        <v>1</v>
      </c>
      <c r="AL9" s="54">
        <f>IF(OR(Gerentes_IV[[#This Row],[@-Ativo]]=FALSE,Gerentes_IV[[#This Row],[@-Calculo-IV]]=FALSE),"-",IF(Gerentes_IV[[#This Row],[Cobertura Plateau]]&lt;Cobertura_Minima_Gerente,0,IFERROR(VLOOKUP(Gerentes_IV[[#This Row],[Cobertura Plateau]],Valores_Gerentes[],AL$1,1),"Erro")))</f>
        <v>564.12350000000004</v>
      </c>
      <c r="AM9" s="34">
        <f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f>
        <v>1</v>
      </c>
      <c r="AN9" s="54">
        <f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f>
        <v>564.12350000000004</v>
      </c>
      <c r="AO9" s="63">
        <f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f>
        <v>8278.6198000000004</v>
      </c>
    </row>
    <row r="10" spans="1:41" x14ac:dyDescent="0.25">
      <c r="A10" s="15" t="s">
        <v>44</v>
      </c>
      <c r="B10" s="18" t="s">
        <v>21</v>
      </c>
      <c r="C10" s="24" t="b">
        <v>1</v>
      </c>
      <c r="D10" s="24" t="b">
        <v>0</v>
      </c>
      <c r="E10" s="29">
        <f>SUMIFS(Cota_Demanda[Cota-Gerente],Cota_Demanda['#FK-Cod-Linha],'Gerentes-IV'!E$1,Cota_Demanda['#FK-Email-Gerente],Gerentes_IV[[#This Row],['#FK-Email-Gerente]])</f>
        <v>0</v>
      </c>
      <c r="F10" s="29">
        <f>SUMIFS(Cota_Demanda[Cota-Gerente],Cota_Demanda['#FK-Cod-Linha],'Gerentes-IV'!F$1,Cota_Demanda['#FK-Email-Gerente],Gerentes_IV[[#This Row],['#FK-Email-Gerente]])</f>
        <v>0</v>
      </c>
      <c r="G10" s="29">
        <f>SUMIFS(Cota_Demanda[Cota-Gerente],Cota_Demanda['#FK-Cod-Linha],'Gerentes-IV'!G$1,Cota_Demanda['#FK-Email-Gerente],Gerentes_IV[[#This Row],['#FK-Email-Gerente]])</f>
        <v>0</v>
      </c>
      <c r="H10" s="29">
        <f>SUMIFS(Cota_Demanda[Cota-Gerente],Cota_Demanda['#FK-Cod-Linha],'Gerentes-IV'!H$1,Cota_Demanda['#FK-Email-Gerente],Gerentes_IV[[#This Row],['#FK-Email-Gerente]])</f>
        <v>0</v>
      </c>
      <c r="I10" s="29">
        <f>SUMIFS(Cota_Demanda[Cota-Gerente],Cota_Demanda['#FK-Cod-Linha],'Gerentes-IV'!I$1,Cota_Demanda['#FK-Email-Gerente],Gerentes_IV[[#This Row],['#FK-Email-Gerente]])</f>
        <v>0</v>
      </c>
      <c r="J10" s="29">
        <f>SUMIFS(Demanda_IV_GR[Demanda-IV],Demanda_IV_GR['#FK-Cod-Linha],J$1,Demanda_IV_GR['#FK-Email-Gerente],Gerentes_IV[[#This Row],['#FK-Email-Gerente]])</f>
        <v>0</v>
      </c>
      <c r="K10" s="29">
        <f>SUMIFS(Demanda_IV_GR[Demanda-IV],Demanda_IV_GR['#FK-Cod-Linha],K$1,Demanda_IV_GR['#FK-Email-Gerente],Gerentes_IV[[#This Row],['#FK-Email-Gerente]])</f>
        <v>0</v>
      </c>
      <c r="L10" s="29">
        <f>SUMIFS(Demanda_IV_GR[Demanda-IV],Demanda_IV_GR['#FK-Cod-Linha],L$1,Demanda_IV_GR['#FK-Email-Gerente],Gerentes_IV[[#This Row],['#FK-Email-Gerente]])</f>
        <v>0</v>
      </c>
      <c r="M10" s="29">
        <f>SUMIFS(Demanda_IV_GR[Demanda-IV],Demanda_IV_GR['#FK-Cod-Linha],M$1,Demanda_IV_GR['#FK-Email-Gerente],Gerentes_IV[[#This Row],['#FK-Email-Gerente]])</f>
        <v>0</v>
      </c>
      <c r="N10" s="29">
        <f>SUMIFS(Demanda_IV_GR[Demanda-IV],Demanda_IV_GR['#FK-Cod-Linha],N$1,Demanda_IV_GR['#FK-Email-Gerente],Gerentes_IV[[#This Row],['#FK-Email-Gerente]])</f>
        <v>0</v>
      </c>
      <c r="O10" s="34" t="str">
        <f>IF(OR(Gerentes_IV[[#This Row],[@-Ativo]]=FALSE,Gerentes_IV[[#This Row],[@-Calculo-IV]]=FALSE),"-",IFERROR(ROUNDUP(IF(Gerentes_IV[[#This Row],[@-Calculo-IV]]=TRUE,IFERROR(Gerentes_IV[[#This Row],[Demanda BERINERT]]/Gerentes_IV[[#This Row],[Cota BERINERT]],0),0),3),"Erro"))</f>
        <v>-</v>
      </c>
      <c r="P10" s="34" t="str">
        <f>IF(OR(Gerentes_IV[[#This Row],[@-Ativo]]=FALSE,Gerentes_IV[[#This Row],[@-Calculo-IV]]=FALSE),"-",IFERROR(ROUNDUP(IF(Gerentes_IV[[#This Row],[@-Calculo-IV]]=TRUE,IFERROR(Gerentes_IV[[#This Row],[Demanda BERIPLEX]]/Gerentes_IV[[#This Row],[Cota BERIPLEX]],0),0),3),"Erro"))</f>
        <v>-</v>
      </c>
      <c r="Q10" s="34" t="str">
        <f>IF(OR(Gerentes_IV[[#This Row],[@-Ativo]]=FALSE,Gerentes_IV[[#This Row],[@-Calculo-IV]]=FALSE),"-",IFERROR(ROUNDUP(IF(Gerentes_IV[[#This Row],[@-Calculo-IV]]=TRUE,IFERROR(Gerentes_IV[[#This Row],[Demanda HAEMO]]/Gerentes_IV[[#This Row],[Cota HAEMO]],0),0),3),"Erro"))</f>
        <v>-</v>
      </c>
      <c r="R10" s="34" t="str">
        <f>IF(OR(Gerentes_IV[[#This Row],[@-Ativo]]=FALSE,Gerentes_IV[[#This Row],[@-Calculo-IV]]=FALSE),"-",IFERROR(ROUNDUP(IF(Gerentes_IV[[#This Row],[@-Calculo-IV]]=TRUE,IFERROR(Gerentes_IV[[#This Row],[Demanda HIZENTRA]]/Gerentes_IV[[#This Row],[Cota HIZENTRA]],0),0),3),"Erro"))</f>
        <v>-</v>
      </c>
      <c r="S10" s="34" t="str">
        <f>IF(OR(Gerentes_IV[[#This Row],[@-Ativo]]=FALSE,Gerentes_IV[[#This Row],[@-Calculo-IV]]=FALSE),"-",IFERROR(ROUNDUP(IF(Gerentes_IV[[#This Row],[@-Calculo-IV]]=TRUE,IFERROR(Gerentes_IV[[#This Row],[Demanda PRIVIGEN]]/Gerentes_IV[[#This Row],[Cota PRIVIGEN]],0),0),3),"Erro"))</f>
        <v>-</v>
      </c>
      <c r="T10" s="54" t="str">
        <f>IF(OR(Gerentes_IV[[#This Row],[@-Ativo]]=FALSE,Gerentes_IV[[#This Row],[@-Calculo-IV]]=FALSE),"-",IF(Gerentes_IV[[#This Row],[Cobertura BERINERT]]&lt;Cobertura_Minima_Gerente,0,IFERROR(VLOOKUP(Gerentes_IV[[#This Row],[Cobertura BERINERT]],Valores_Gerentes[],T$1,1),"Erro")))</f>
        <v>-</v>
      </c>
      <c r="U10" s="54" t="str">
        <f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f>
        <v>-</v>
      </c>
      <c r="V10" s="54" t="str">
        <f>IF(OR(Gerentes_IV[[#This Row],[@-Ativo]]=FALSE,Gerentes_IV[[#This Row],[@-Calculo-IV]]=FALSE),"-",IF(Gerentes_IV[[#This Row],[Cobertura HAEMO]]&lt;Cobertura_Minima_Gerente,0,IFERROR(VLOOKUP(Gerentes_IV[[#This Row],[Cobertura HAEMO]],Valores_Gerentes[],V$1,1),"Erro")))</f>
        <v>-</v>
      </c>
      <c r="W10" s="54" t="str">
        <f>IF(OR(Gerentes_IV[[#This Row],[@-Ativo]]=FALSE,Gerentes_IV[[#This Row],[@-Calculo-IV]]=FALSE),"-",IF(Gerentes_IV[[#This Row],[Cobertura HIZENTRA]]&lt;Cobertura_Minima_Gerente,0,IFERROR(VLOOKUP(Gerentes_IV[[#This Row],[Cobertura HIZENTRA]],Valores_Gerentes[],W$1,1),"Erro")))</f>
        <v>-</v>
      </c>
      <c r="X10" s="54" t="str">
        <f>IF(OR(Gerentes_IV[[#This Row],[@-Ativo]]=FALSE,Gerentes_IV[[#This Row],[@-Calculo-IV]]=FALSE),"-",IF(Gerentes_IV[[#This Row],[Cobertura PRIVIGEN]]&lt;Cobertura_Minima_Gerente,0,IFERROR(VLOOKUP(Gerentes_IV[[#This Row],[Cobertura PRIVIGEN]],Valores_Gerentes[],X$1,1),"Erro")))</f>
        <v>-</v>
      </c>
      <c r="Y10" s="54" t="str">
        <f>IF(OR(Gerentes_IV[[#This Row],[@-Ativo]]=FALSE,Gerentes_IV[[#This Row],[@-Calculo-IV]]=FALSE),"-",SUM(Cota_Venda[Cota-Venda]))</f>
        <v>-</v>
      </c>
      <c r="Z10" s="54" t="str">
        <f>IF(OR(Gerentes_IV[[#This Row],[@-Ativo]]=FALSE,Gerentes_IV[[#This Row],[@-Calculo-IV]]=FALSE),"-",SUMIFS(Venda[Venda-IV],Venda[@-Ministerio],FALSE))</f>
        <v>-</v>
      </c>
      <c r="AA10" s="34" t="str">
        <f>IF(OR(Gerentes_IV[[#This Row],[@-Ativo]]=FALSE,Gerentes_IV[[#This Row],[@-Calculo-IV]]=FALSE),"-",ROUNDUP(IFERROR(Gerentes_IV[[#This Row],[Venda]]/Gerentes_IV[[#This Row],[Cota Venda]],0),3))</f>
        <v>-</v>
      </c>
      <c r="AB10" s="54" t="str">
        <f>IF(OR(Gerentes_IV[[#This Row],[@-Ativo]]=FALSE,Gerentes_IV[[#This Row],[@-Calculo-IV]]=FALSE),"-",IF(Gerentes_IV[[#This Row],[Cobertura Venda]]&lt;Cobertura_Minima_Gerente,0,IFERROR(VLOOKUP(Gerentes_IV[[#This Row],[Cobertura Venda]],Valores_Gerentes[],AB$1,1),"Erro")))</f>
        <v>-</v>
      </c>
      <c r="AC10" s="29">
        <f>SUMIFS(Visitas_Outros[Visitas-Meta],Visitas_Outros['#FK-Email-Gerente],Gerentes_IV[[#This Row],['#FK-Email-Gerente]])</f>
        <v>0</v>
      </c>
      <c r="AD10" s="95">
        <f>SUMIFS(Visitas_Outros[Visitas-Realizadas],Visitas_Outros['#FK-Email-Gerente],Gerentes_IV[[#This Row],['#FK-Email-Gerente]])</f>
        <v>0</v>
      </c>
      <c r="AE10" s="34" t="str">
        <f>IF(OR(Gerentes_IV[[#This Row],[@-Ativo]]=FALSE,Gerentes_IV[[#This Row],[@-Calculo-IV]]=FALSE),"-",ROUNDUP(IFERROR(Gerentes_IV[[#This Row],[Visitas]]/Gerentes_IV[[#This Row],[Meta Visitas]],0),3))</f>
        <v>-</v>
      </c>
      <c r="AF10" s="54" t="str">
        <f>IF(OR(Gerentes_IV[[#This Row],[@-Ativo]]=FALSE,Gerentes_IV[[#This Row],[@-Calculo-IV]]=FALSE),"-",IF(Gerentes_IV[[#This Row],[Cobertura Visitas]]&lt;Cobertura_Minima_Gerente,0,IFERROR(VLOOKUP(Gerentes_IV[[#This Row],[Cobertura Visitas]],Valores_Gerentes[],AF$1,1),"Erro")))</f>
        <v>-</v>
      </c>
      <c r="AG10" s="34" t="str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-</v>
      </c>
      <c r="AH10" s="54" t="str">
        <f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f>
        <v>-</v>
      </c>
      <c r="AI10" s="34" t="str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-</v>
      </c>
      <c r="AJ10" s="54" t="str">
        <f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f>
        <v>-</v>
      </c>
      <c r="AK10" s="34" t="str">
        <f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f>
        <v>-</v>
      </c>
      <c r="AL10" s="54" t="str">
        <f>IF(OR(Gerentes_IV[[#This Row],[@-Ativo]]=FALSE,Gerentes_IV[[#This Row],[@-Calculo-IV]]=FALSE),"-",IF(Gerentes_IV[[#This Row],[Cobertura Plateau]]&lt;Cobertura_Minima_Gerente,0,IFERROR(VLOOKUP(Gerentes_IV[[#This Row],[Cobertura Plateau]],Valores_Gerentes[],AL$1,1),"Erro")))</f>
        <v>-</v>
      </c>
      <c r="AM10" s="34" t="str">
        <f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f>
        <v>-</v>
      </c>
      <c r="AN10" s="54" t="str">
        <f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f>
        <v>-</v>
      </c>
      <c r="AO10" s="63" t="str">
        <f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f>
        <v>-</v>
      </c>
    </row>
    <row r="11" spans="1:41" x14ac:dyDescent="0.25">
      <c r="A11" s="15" t="s">
        <v>142</v>
      </c>
      <c r="B11" s="18" t="s">
        <v>14</v>
      </c>
      <c r="C11" s="24" t="b">
        <v>1</v>
      </c>
      <c r="D11" s="24" t="b">
        <v>0</v>
      </c>
      <c r="E11" s="29">
        <f>SUMIFS(Cota_Demanda[Cota-Gerente],Cota_Demanda['#FK-Cod-Linha],'Gerentes-IV'!E$1,Cota_Demanda['#FK-Email-Gerente],Gerentes_IV[[#This Row],['#FK-Email-Gerente]])</f>
        <v>0</v>
      </c>
      <c r="F11" s="29">
        <f>SUMIFS(Cota_Demanda[Cota-Gerente],Cota_Demanda['#FK-Cod-Linha],'Gerentes-IV'!F$1,Cota_Demanda['#FK-Email-Gerente],Gerentes_IV[[#This Row],['#FK-Email-Gerente]])</f>
        <v>0</v>
      </c>
      <c r="G11" s="29">
        <f>SUMIFS(Cota_Demanda[Cota-Gerente],Cota_Demanda['#FK-Cod-Linha],'Gerentes-IV'!G$1,Cota_Demanda['#FK-Email-Gerente],Gerentes_IV[[#This Row],['#FK-Email-Gerente]])</f>
        <v>0</v>
      </c>
      <c r="H11" s="29">
        <f>SUMIFS(Cota_Demanda[Cota-Gerente],Cota_Demanda['#FK-Cod-Linha],'Gerentes-IV'!H$1,Cota_Demanda['#FK-Email-Gerente],Gerentes_IV[[#This Row],['#FK-Email-Gerente]])</f>
        <v>0</v>
      </c>
      <c r="I11" s="29">
        <f>SUMIFS(Cota_Demanda[Cota-Gerente],Cota_Demanda['#FK-Cod-Linha],'Gerentes-IV'!I$1,Cota_Demanda['#FK-Email-Gerente],Gerentes_IV[[#This Row],['#FK-Email-Gerente]])</f>
        <v>0</v>
      </c>
      <c r="J11" s="29">
        <f>SUMIFS(Demanda_IV_GR[Demanda-IV],Demanda_IV_GR['#FK-Cod-Linha],J$1,Demanda_IV_GR['#FK-Email-Gerente],Gerentes_IV[[#This Row],['#FK-Email-Gerente]])</f>
        <v>0</v>
      </c>
      <c r="K11" s="29">
        <f>SUMIFS(Demanda_IV_GR[Demanda-IV],Demanda_IV_GR['#FK-Cod-Linha],K$1,Demanda_IV_GR['#FK-Email-Gerente],Gerentes_IV[[#This Row],['#FK-Email-Gerente]])</f>
        <v>0</v>
      </c>
      <c r="L11" s="29">
        <f>SUMIFS(Demanda_IV_GR[Demanda-IV],Demanda_IV_GR['#FK-Cod-Linha],L$1,Demanda_IV_GR['#FK-Email-Gerente],Gerentes_IV[[#This Row],['#FK-Email-Gerente]])</f>
        <v>0</v>
      </c>
      <c r="M11" s="29">
        <f>SUMIFS(Demanda_IV_GR[Demanda-IV],Demanda_IV_GR['#FK-Cod-Linha],M$1,Demanda_IV_GR['#FK-Email-Gerente],Gerentes_IV[[#This Row],['#FK-Email-Gerente]])</f>
        <v>0</v>
      </c>
      <c r="N11" s="29">
        <f>SUMIFS(Demanda_IV_GR[Demanda-IV],Demanda_IV_GR['#FK-Cod-Linha],N$1,Demanda_IV_GR['#FK-Email-Gerente],Gerentes_IV[[#This Row],['#FK-Email-Gerente]])</f>
        <v>0</v>
      </c>
      <c r="O11" s="34" t="str">
        <f>IF(OR(Gerentes_IV[[#This Row],[@-Ativo]]=FALSE,Gerentes_IV[[#This Row],[@-Calculo-IV]]=FALSE),"-",IFERROR(ROUNDUP(IF(Gerentes_IV[[#This Row],[@-Calculo-IV]]=TRUE,IFERROR(Gerentes_IV[[#This Row],[Demanda BERINERT]]/Gerentes_IV[[#This Row],[Cota BERINERT]],0),0),3),"Erro"))</f>
        <v>-</v>
      </c>
      <c r="P11" s="34" t="str">
        <f>IF(OR(Gerentes_IV[[#This Row],[@-Ativo]]=FALSE,Gerentes_IV[[#This Row],[@-Calculo-IV]]=FALSE),"-",IFERROR(ROUNDUP(IF(Gerentes_IV[[#This Row],[@-Calculo-IV]]=TRUE,IFERROR(Gerentes_IV[[#This Row],[Demanda BERIPLEX]]/Gerentes_IV[[#This Row],[Cota BERIPLEX]],0),0),3),"Erro"))</f>
        <v>-</v>
      </c>
      <c r="Q11" s="34" t="str">
        <f>IF(OR(Gerentes_IV[[#This Row],[@-Ativo]]=FALSE,Gerentes_IV[[#This Row],[@-Calculo-IV]]=FALSE),"-",IFERROR(ROUNDUP(IF(Gerentes_IV[[#This Row],[@-Calculo-IV]]=TRUE,IFERROR(Gerentes_IV[[#This Row],[Demanda HAEMO]]/Gerentes_IV[[#This Row],[Cota HAEMO]],0),0),3),"Erro"))</f>
        <v>-</v>
      </c>
      <c r="R11" s="34" t="str">
        <f>IF(OR(Gerentes_IV[[#This Row],[@-Ativo]]=FALSE,Gerentes_IV[[#This Row],[@-Calculo-IV]]=FALSE),"-",IFERROR(ROUNDUP(IF(Gerentes_IV[[#This Row],[@-Calculo-IV]]=TRUE,IFERROR(Gerentes_IV[[#This Row],[Demanda HIZENTRA]]/Gerentes_IV[[#This Row],[Cota HIZENTRA]],0),0),3),"Erro"))</f>
        <v>-</v>
      </c>
      <c r="S11" s="34" t="str">
        <f>IF(OR(Gerentes_IV[[#This Row],[@-Ativo]]=FALSE,Gerentes_IV[[#This Row],[@-Calculo-IV]]=FALSE),"-",IFERROR(ROUNDUP(IF(Gerentes_IV[[#This Row],[@-Calculo-IV]]=TRUE,IFERROR(Gerentes_IV[[#This Row],[Demanda PRIVIGEN]]/Gerentes_IV[[#This Row],[Cota PRIVIGEN]],0),0),3),"Erro"))</f>
        <v>-</v>
      </c>
      <c r="T11" s="54" t="str">
        <f>IF(OR(Gerentes_IV[[#This Row],[@-Ativo]]=FALSE,Gerentes_IV[[#This Row],[@-Calculo-IV]]=FALSE),"-",IF(Gerentes_IV[[#This Row],[Cobertura BERINERT]]&lt;Cobertura_Minima_Gerente,0,IFERROR(VLOOKUP(Gerentes_IV[[#This Row],[Cobertura BERINERT]],Valores_Gerentes[],T$1,1),"Erro")))</f>
        <v>-</v>
      </c>
      <c r="U11" s="54" t="str">
        <f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f>
        <v>-</v>
      </c>
      <c r="V11" s="54" t="str">
        <f>IF(OR(Gerentes_IV[[#This Row],[@-Ativo]]=FALSE,Gerentes_IV[[#This Row],[@-Calculo-IV]]=FALSE),"-",IF(Gerentes_IV[[#This Row],[Cobertura HAEMO]]&lt;Cobertura_Minima_Gerente,0,IFERROR(VLOOKUP(Gerentes_IV[[#This Row],[Cobertura HAEMO]],Valores_Gerentes[],V$1,1),"Erro")))</f>
        <v>-</v>
      </c>
      <c r="W11" s="54" t="str">
        <f>IF(OR(Gerentes_IV[[#This Row],[@-Ativo]]=FALSE,Gerentes_IV[[#This Row],[@-Calculo-IV]]=FALSE),"-",IF(Gerentes_IV[[#This Row],[Cobertura HIZENTRA]]&lt;Cobertura_Minima_Gerente,0,IFERROR(VLOOKUP(Gerentes_IV[[#This Row],[Cobertura HIZENTRA]],Valores_Gerentes[],W$1,1),"Erro")))</f>
        <v>-</v>
      </c>
      <c r="X11" s="54" t="str">
        <f>IF(OR(Gerentes_IV[[#This Row],[@-Ativo]]=FALSE,Gerentes_IV[[#This Row],[@-Calculo-IV]]=FALSE),"-",IF(Gerentes_IV[[#This Row],[Cobertura PRIVIGEN]]&lt;Cobertura_Minima_Gerente,0,IFERROR(VLOOKUP(Gerentes_IV[[#This Row],[Cobertura PRIVIGEN]],Valores_Gerentes[],X$1,1),"Erro")))</f>
        <v>-</v>
      </c>
      <c r="Y11" s="54" t="str">
        <f>IF(OR(Gerentes_IV[[#This Row],[@-Ativo]]=FALSE,Gerentes_IV[[#This Row],[@-Calculo-IV]]=FALSE),"-",SUM(Cota_Venda[Cota-Venda]))</f>
        <v>-</v>
      </c>
      <c r="Z11" s="54" t="str">
        <f>IF(OR(Gerentes_IV[[#This Row],[@-Ativo]]=FALSE,Gerentes_IV[[#This Row],[@-Calculo-IV]]=FALSE),"-",SUMIFS(Venda[Venda-IV],Venda[@-Ministerio],FALSE))</f>
        <v>-</v>
      </c>
      <c r="AA11" s="34" t="str">
        <f>IF(OR(Gerentes_IV[[#This Row],[@-Ativo]]=FALSE,Gerentes_IV[[#This Row],[@-Calculo-IV]]=FALSE),"-",ROUNDUP(IFERROR(Gerentes_IV[[#This Row],[Venda]]/Gerentes_IV[[#This Row],[Cota Venda]],0),3))</f>
        <v>-</v>
      </c>
      <c r="AB11" s="54" t="str">
        <f>IF(OR(Gerentes_IV[[#This Row],[@-Ativo]]=FALSE,Gerentes_IV[[#This Row],[@-Calculo-IV]]=FALSE),"-",IF(Gerentes_IV[[#This Row],[Cobertura Venda]]&lt;Cobertura_Minima_Gerente,0,IFERROR(VLOOKUP(Gerentes_IV[[#This Row],[Cobertura Venda]],Valores_Gerentes[],AB$1,1),"Erro")))</f>
        <v>-</v>
      </c>
      <c r="AC11" s="29">
        <f>SUMIFS(Visitas_Outros[Visitas-Meta],Visitas_Outros['#FK-Email-Gerente],Gerentes_IV[[#This Row],['#FK-Email-Gerente]])</f>
        <v>0</v>
      </c>
      <c r="AD11" s="95">
        <f>SUMIFS(Visitas_Outros[Visitas-Realizadas],Visitas_Outros['#FK-Email-Gerente],Gerentes_IV[[#This Row],['#FK-Email-Gerente]])</f>
        <v>0</v>
      </c>
      <c r="AE11" s="34" t="str">
        <f>IF(OR(Gerentes_IV[[#This Row],[@-Ativo]]=FALSE,Gerentes_IV[[#This Row],[@-Calculo-IV]]=FALSE),"-",ROUNDUP(IFERROR(Gerentes_IV[[#This Row],[Visitas]]/Gerentes_IV[[#This Row],[Meta Visitas]],0),3))</f>
        <v>-</v>
      </c>
      <c r="AF11" s="54" t="str">
        <f>IF(OR(Gerentes_IV[[#This Row],[@-Ativo]]=FALSE,Gerentes_IV[[#This Row],[@-Calculo-IV]]=FALSE),"-",IF(Gerentes_IV[[#This Row],[Cobertura Visitas]]&lt;Cobertura_Minima_Gerente,0,IFERROR(VLOOKUP(Gerentes_IV[[#This Row],[Cobertura Visitas]],Valores_Gerentes[],AF$1,1),"Erro")))</f>
        <v>-</v>
      </c>
      <c r="AG11" s="34" t="str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-</v>
      </c>
      <c r="AH11" s="54" t="str">
        <f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f>
        <v>-</v>
      </c>
      <c r="AI11" s="34" t="str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-</v>
      </c>
      <c r="AJ11" s="54" t="str">
        <f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f>
        <v>-</v>
      </c>
      <c r="AK11" s="34" t="str">
        <f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f>
        <v>-</v>
      </c>
      <c r="AL11" s="54" t="str">
        <f>IF(OR(Gerentes_IV[[#This Row],[@-Ativo]]=FALSE,Gerentes_IV[[#This Row],[@-Calculo-IV]]=FALSE),"-",IF(Gerentes_IV[[#This Row],[Cobertura Plateau]]&lt;Cobertura_Minima_Gerente,0,IFERROR(VLOOKUP(Gerentes_IV[[#This Row],[Cobertura Plateau]],Valores_Gerentes[],AL$1,1),"Erro")))</f>
        <v>-</v>
      </c>
      <c r="AM11" s="34" t="str">
        <f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f>
        <v>-</v>
      </c>
      <c r="AN11" s="54" t="str">
        <f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f>
        <v>-</v>
      </c>
      <c r="AO11" s="63" t="str">
        <f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f>
        <v>-</v>
      </c>
    </row>
    <row r="12" spans="1:41" x14ac:dyDescent="0.25">
      <c r="A12" s="15" t="s">
        <v>144</v>
      </c>
      <c r="B12" s="18" t="s">
        <v>22</v>
      </c>
      <c r="C12" s="24" t="b">
        <v>1</v>
      </c>
      <c r="D12" s="24" t="b">
        <v>0</v>
      </c>
      <c r="E12" s="29">
        <f>SUMIFS(Cota_Demanda[Cota-Gerente],Cota_Demanda['#FK-Cod-Linha],'Gerentes-IV'!E$1,Cota_Demanda['#FK-Email-Gerente],Gerentes_IV[[#This Row],['#FK-Email-Gerente]])</f>
        <v>0</v>
      </c>
      <c r="F12" s="29">
        <f>SUMIFS(Cota_Demanda[Cota-Gerente],Cota_Demanda['#FK-Cod-Linha],'Gerentes-IV'!F$1,Cota_Demanda['#FK-Email-Gerente],Gerentes_IV[[#This Row],['#FK-Email-Gerente]])</f>
        <v>0</v>
      </c>
      <c r="G12" s="29">
        <f>SUMIFS(Cota_Demanda[Cota-Gerente],Cota_Demanda['#FK-Cod-Linha],'Gerentes-IV'!G$1,Cota_Demanda['#FK-Email-Gerente],Gerentes_IV[[#This Row],['#FK-Email-Gerente]])</f>
        <v>0</v>
      </c>
      <c r="H12" s="29">
        <f>SUMIFS(Cota_Demanda[Cota-Gerente],Cota_Demanda['#FK-Cod-Linha],'Gerentes-IV'!H$1,Cota_Demanda['#FK-Email-Gerente],Gerentes_IV[[#This Row],['#FK-Email-Gerente]])</f>
        <v>0</v>
      </c>
      <c r="I12" s="29">
        <f>SUMIFS(Cota_Demanda[Cota-Gerente],Cota_Demanda['#FK-Cod-Linha],'Gerentes-IV'!I$1,Cota_Demanda['#FK-Email-Gerente],Gerentes_IV[[#This Row],['#FK-Email-Gerente]])</f>
        <v>0</v>
      </c>
      <c r="J12" s="29">
        <f>SUMIFS(Demanda_IV_GR[Demanda-IV],Demanda_IV_GR['#FK-Cod-Linha],J$1,Demanda_IV_GR['#FK-Email-Gerente],Gerentes_IV[[#This Row],['#FK-Email-Gerente]])</f>
        <v>0</v>
      </c>
      <c r="K12" s="29">
        <f>SUMIFS(Demanda_IV_GR[Demanda-IV],Demanda_IV_GR['#FK-Cod-Linha],K$1,Demanda_IV_GR['#FK-Email-Gerente],Gerentes_IV[[#This Row],['#FK-Email-Gerente]])</f>
        <v>0</v>
      </c>
      <c r="L12" s="29">
        <f>SUMIFS(Demanda_IV_GR[Demanda-IV],Demanda_IV_GR['#FK-Cod-Linha],L$1,Demanda_IV_GR['#FK-Email-Gerente],Gerentes_IV[[#This Row],['#FK-Email-Gerente]])</f>
        <v>0</v>
      </c>
      <c r="M12" s="29">
        <f>SUMIFS(Demanda_IV_GR[Demanda-IV],Demanda_IV_GR['#FK-Cod-Linha],M$1,Demanda_IV_GR['#FK-Email-Gerente],Gerentes_IV[[#This Row],['#FK-Email-Gerente]])</f>
        <v>0</v>
      </c>
      <c r="N12" s="29">
        <f>SUMIFS(Demanda_IV_GR[Demanda-IV],Demanda_IV_GR['#FK-Cod-Linha],N$1,Demanda_IV_GR['#FK-Email-Gerente],Gerentes_IV[[#This Row],['#FK-Email-Gerente]])</f>
        <v>0</v>
      </c>
      <c r="O12" s="34" t="str">
        <f>IF(OR(Gerentes_IV[[#This Row],[@-Ativo]]=FALSE,Gerentes_IV[[#This Row],[@-Calculo-IV]]=FALSE),"-",IFERROR(ROUNDUP(IF(Gerentes_IV[[#This Row],[@-Calculo-IV]]=TRUE,IFERROR(Gerentes_IV[[#This Row],[Demanda BERINERT]]/Gerentes_IV[[#This Row],[Cota BERINERT]],0),0),3),"Erro"))</f>
        <v>-</v>
      </c>
      <c r="P12" s="34" t="str">
        <f>IF(OR(Gerentes_IV[[#This Row],[@-Ativo]]=FALSE,Gerentes_IV[[#This Row],[@-Calculo-IV]]=FALSE),"-",IFERROR(ROUNDUP(IF(Gerentes_IV[[#This Row],[@-Calculo-IV]]=TRUE,IFERROR(Gerentes_IV[[#This Row],[Demanda BERIPLEX]]/Gerentes_IV[[#This Row],[Cota BERIPLEX]],0),0),3),"Erro"))</f>
        <v>-</v>
      </c>
      <c r="Q12" s="34" t="str">
        <f>IF(OR(Gerentes_IV[[#This Row],[@-Ativo]]=FALSE,Gerentes_IV[[#This Row],[@-Calculo-IV]]=FALSE),"-",IFERROR(ROUNDUP(IF(Gerentes_IV[[#This Row],[@-Calculo-IV]]=TRUE,IFERROR(Gerentes_IV[[#This Row],[Demanda HAEMO]]/Gerentes_IV[[#This Row],[Cota HAEMO]],0),0),3),"Erro"))</f>
        <v>-</v>
      </c>
      <c r="R12" s="34" t="str">
        <f>IF(OR(Gerentes_IV[[#This Row],[@-Ativo]]=FALSE,Gerentes_IV[[#This Row],[@-Calculo-IV]]=FALSE),"-",IFERROR(ROUNDUP(IF(Gerentes_IV[[#This Row],[@-Calculo-IV]]=TRUE,IFERROR(Gerentes_IV[[#This Row],[Demanda HIZENTRA]]/Gerentes_IV[[#This Row],[Cota HIZENTRA]],0),0),3),"Erro"))</f>
        <v>-</v>
      </c>
      <c r="S12" s="34" t="str">
        <f>IF(OR(Gerentes_IV[[#This Row],[@-Ativo]]=FALSE,Gerentes_IV[[#This Row],[@-Calculo-IV]]=FALSE),"-",IFERROR(ROUNDUP(IF(Gerentes_IV[[#This Row],[@-Calculo-IV]]=TRUE,IFERROR(Gerentes_IV[[#This Row],[Demanda PRIVIGEN]]/Gerentes_IV[[#This Row],[Cota PRIVIGEN]],0),0),3),"Erro"))</f>
        <v>-</v>
      </c>
      <c r="T12" s="54" t="str">
        <f>IF(OR(Gerentes_IV[[#This Row],[@-Ativo]]=FALSE,Gerentes_IV[[#This Row],[@-Calculo-IV]]=FALSE),"-",IF(Gerentes_IV[[#This Row],[Cobertura BERINERT]]&lt;Cobertura_Minima_Gerente,0,IFERROR(VLOOKUP(Gerentes_IV[[#This Row],[Cobertura BERINERT]],Valores_Gerentes[],T$1,1),"Erro")))</f>
        <v>-</v>
      </c>
      <c r="U12" s="54" t="str">
        <f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f>
        <v>-</v>
      </c>
      <c r="V12" s="54" t="str">
        <f>IF(OR(Gerentes_IV[[#This Row],[@-Ativo]]=FALSE,Gerentes_IV[[#This Row],[@-Calculo-IV]]=FALSE),"-",IF(Gerentes_IV[[#This Row],[Cobertura HAEMO]]&lt;Cobertura_Minima_Gerente,0,IFERROR(VLOOKUP(Gerentes_IV[[#This Row],[Cobertura HAEMO]],Valores_Gerentes[],V$1,1),"Erro")))</f>
        <v>-</v>
      </c>
      <c r="W12" s="54" t="str">
        <f>IF(OR(Gerentes_IV[[#This Row],[@-Ativo]]=FALSE,Gerentes_IV[[#This Row],[@-Calculo-IV]]=FALSE),"-",IF(Gerentes_IV[[#This Row],[Cobertura HIZENTRA]]&lt;Cobertura_Minima_Gerente,0,IFERROR(VLOOKUP(Gerentes_IV[[#This Row],[Cobertura HIZENTRA]],Valores_Gerentes[],W$1,1),"Erro")))</f>
        <v>-</v>
      </c>
      <c r="X12" s="54" t="str">
        <f>IF(OR(Gerentes_IV[[#This Row],[@-Ativo]]=FALSE,Gerentes_IV[[#This Row],[@-Calculo-IV]]=FALSE),"-",IF(Gerentes_IV[[#This Row],[Cobertura PRIVIGEN]]&lt;Cobertura_Minima_Gerente,0,IFERROR(VLOOKUP(Gerentes_IV[[#This Row],[Cobertura PRIVIGEN]],Valores_Gerentes[],X$1,1),"Erro")))</f>
        <v>-</v>
      </c>
      <c r="Y12" s="54" t="str">
        <f>IF(OR(Gerentes_IV[[#This Row],[@-Ativo]]=FALSE,Gerentes_IV[[#This Row],[@-Calculo-IV]]=FALSE),"-",SUM(Cota_Venda[Cota-Venda]))</f>
        <v>-</v>
      </c>
      <c r="Z12" s="54" t="str">
        <f>IF(OR(Gerentes_IV[[#This Row],[@-Ativo]]=FALSE,Gerentes_IV[[#This Row],[@-Calculo-IV]]=FALSE),"-",SUMIFS(Venda[Venda-IV],Venda[@-Ministerio],FALSE))</f>
        <v>-</v>
      </c>
      <c r="AA12" s="34" t="str">
        <f>IF(OR(Gerentes_IV[[#This Row],[@-Ativo]]=FALSE,Gerentes_IV[[#This Row],[@-Calculo-IV]]=FALSE),"-",ROUNDUP(IFERROR(Gerentes_IV[[#This Row],[Venda]]/Gerentes_IV[[#This Row],[Cota Venda]],0),3))</f>
        <v>-</v>
      </c>
      <c r="AB12" s="54" t="str">
        <f>IF(OR(Gerentes_IV[[#This Row],[@-Ativo]]=FALSE,Gerentes_IV[[#This Row],[@-Calculo-IV]]=FALSE),"-",IF(Gerentes_IV[[#This Row],[Cobertura Venda]]&lt;Cobertura_Minima_Gerente,0,IFERROR(VLOOKUP(Gerentes_IV[[#This Row],[Cobertura Venda]],Valores_Gerentes[],AB$1,1),"Erro")))</f>
        <v>-</v>
      </c>
      <c r="AC12" s="29">
        <f>SUMIFS(Visitas_Outros[Visitas-Meta],Visitas_Outros['#FK-Email-Gerente],Gerentes_IV[[#This Row],['#FK-Email-Gerente]])</f>
        <v>0</v>
      </c>
      <c r="AD12" s="95">
        <f>SUMIFS(Visitas_Outros[Visitas-Realizadas],Visitas_Outros['#FK-Email-Gerente],Gerentes_IV[[#This Row],['#FK-Email-Gerente]])</f>
        <v>0</v>
      </c>
      <c r="AE12" s="34" t="str">
        <f>IF(OR(Gerentes_IV[[#This Row],[@-Ativo]]=FALSE,Gerentes_IV[[#This Row],[@-Calculo-IV]]=FALSE),"-",ROUNDUP(IFERROR(Gerentes_IV[[#This Row],[Visitas]]/Gerentes_IV[[#This Row],[Meta Visitas]],0),3))</f>
        <v>-</v>
      </c>
      <c r="AF12" s="54" t="str">
        <f>IF(OR(Gerentes_IV[[#This Row],[@-Ativo]]=FALSE,Gerentes_IV[[#This Row],[@-Calculo-IV]]=FALSE),"-",IF(Gerentes_IV[[#This Row],[Cobertura Visitas]]&lt;Cobertura_Minima_Gerente,0,IFERROR(VLOOKUP(Gerentes_IV[[#This Row],[Cobertura Visitas]],Valores_Gerentes[],AF$1,1),"Erro")))</f>
        <v>-</v>
      </c>
      <c r="AG12" s="34" t="str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-</v>
      </c>
      <c r="AH12" s="54" t="str">
        <f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f>
        <v>-</v>
      </c>
      <c r="AI12" s="34" t="str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-</v>
      </c>
      <c r="AJ12" s="54" t="str">
        <f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f>
        <v>-</v>
      </c>
      <c r="AK12" s="34" t="str">
        <f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f>
        <v>-</v>
      </c>
      <c r="AL12" s="54" t="str">
        <f>IF(OR(Gerentes_IV[[#This Row],[@-Ativo]]=FALSE,Gerentes_IV[[#This Row],[@-Calculo-IV]]=FALSE),"-",IF(Gerentes_IV[[#This Row],[Cobertura Plateau]]&lt;Cobertura_Minima_Gerente,0,IFERROR(VLOOKUP(Gerentes_IV[[#This Row],[Cobertura Plateau]],Valores_Gerentes[],AL$1,1),"Erro")))</f>
        <v>-</v>
      </c>
      <c r="AM12" s="34" t="str">
        <f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f>
        <v>-</v>
      </c>
      <c r="AN12" s="54" t="str">
        <f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f>
        <v>-</v>
      </c>
      <c r="AO12" s="63" t="str">
        <f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f>
        <v>-</v>
      </c>
    </row>
  </sheetData>
  <conditionalFormatting sqref="C7:D12">
    <cfRule type="cellIs" dxfId="537" priority="183" operator="equal">
      <formula>FALSE</formula>
    </cfRule>
    <cfRule type="cellIs" dxfId="536" priority="184" operator="equal">
      <formula>TRUE</formula>
    </cfRule>
  </conditionalFormatting>
  <conditionalFormatting sqref="T7:X12">
    <cfRule type="cellIs" dxfId="535" priority="177" operator="equal">
      <formula>"Erro"</formula>
    </cfRule>
    <cfRule type="cellIs" dxfId="534" priority="178" operator="equal">
      <formula>0</formula>
    </cfRule>
  </conditionalFormatting>
  <conditionalFormatting sqref="O7:S12">
    <cfRule type="cellIs" dxfId="533" priority="161" stopIfTrue="1" operator="equal">
      <formula>"-"</formula>
    </cfRule>
    <cfRule type="cellIs" dxfId="532" priority="162" stopIfTrue="1" operator="equal">
      <formula>"Erro"</formula>
    </cfRule>
    <cfRule type="cellIs" dxfId="531" priority="168" operator="greaterThanOrEqual">
      <formula>1.05</formula>
    </cfRule>
    <cfRule type="cellIs" dxfId="530" priority="169" operator="greaterThanOrEqual">
      <formula>1</formula>
    </cfRule>
    <cfRule type="cellIs" dxfId="529" priority="170" operator="greaterThanOrEqual">
      <formula>$Q$1</formula>
    </cfRule>
    <cfRule type="cellIs" dxfId="528" priority="171" operator="lessThan">
      <formula>$Q$1</formula>
    </cfRule>
    <cfRule type="cellIs" dxfId="527" priority="172" operator="equal">
      <formula>"Erro"</formula>
    </cfRule>
  </conditionalFormatting>
  <conditionalFormatting sqref="O3:S4">
    <cfRule type="cellIs" dxfId="526" priority="163" operator="greaterThanOrEqual">
      <formula>1.05</formula>
    </cfRule>
    <cfRule type="cellIs" dxfId="525" priority="164" operator="greaterThanOrEqual">
      <formula>1</formula>
    </cfRule>
    <cfRule type="cellIs" dxfId="524" priority="165" operator="greaterThanOrEqual">
      <formula>$Q$1</formula>
    </cfRule>
    <cfRule type="cellIs" dxfId="523" priority="166" operator="lessThan">
      <formula>$Q$1</formula>
    </cfRule>
    <cfRule type="cellIs" dxfId="522" priority="167" operator="equal">
      <formula>"Erro"</formula>
    </cfRule>
  </conditionalFormatting>
  <conditionalFormatting sqref="Y7:Z7">
    <cfRule type="cellIs" dxfId="521" priority="160" operator="equal">
      <formula>0</formula>
    </cfRule>
  </conditionalFormatting>
  <conditionalFormatting sqref="AO7">
    <cfRule type="cellIs" dxfId="520" priority="150" operator="equal">
      <formula>0</formula>
    </cfRule>
  </conditionalFormatting>
  <conditionalFormatting sqref="AA7:AA12">
    <cfRule type="cellIs" dxfId="519" priority="136" stopIfTrue="1" operator="equal">
      <formula>"-"</formula>
    </cfRule>
    <cfRule type="cellIs" dxfId="518" priority="137" stopIfTrue="1" operator="equal">
      <formula>"Erro"</formula>
    </cfRule>
    <cfRule type="cellIs" dxfId="517" priority="138" operator="greaterThanOrEqual">
      <formula>1.05</formula>
    </cfRule>
    <cfRule type="cellIs" dxfId="516" priority="139" operator="greaterThanOrEqual">
      <formula>1</formula>
    </cfRule>
    <cfRule type="cellIs" dxfId="515" priority="140" operator="greaterThanOrEqual">
      <formula>$Q$1</formula>
    </cfRule>
    <cfRule type="cellIs" dxfId="514" priority="141" operator="lessThan">
      <formula>$Q$1</formula>
    </cfRule>
    <cfRule type="cellIs" dxfId="513" priority="142" operator="equal">
      <formula>"Erro"</formula>
    </cfRule>
  </conditionalFormatting>
  <conditionalFormatting sqref="AD7:AD12">
    <cfRule type="cellIs" dxfId="512" priority="120" operator="equal">
      <formula>0</formula>
    </cfRule>
  </conditionalFormatting>
  <conditionalFormatting sqref="AE7:AE12">
    <cfRule type="cellIs" dxfId="511" priority="106" stopIfTrue="1" operator="equal">
      <formula>"-"</formula>
    </cfRule>
    <cfRule type="cellIs" dxfId="510" priority="107" stopIfTrue="1" operator="equal">
      <formula>"Erro"</formula>
    </cfRule>
    <cfRule type="cellIs" dxfId="509" priority="108" operator="greaterThanOrEqual">
      <formula>1.05</formula>
    </cfRule>
    <cfRule type="cellIs" dxfId="508" priority="109" operator="greaterThanOrEqual">
      <formula>1</formula>
    </cfRule>
    <cfRule type="cellIs" dxfId="507" priority="110" operator="greaterThanOrEqual">
      <formula>$Q$1</formula>
    </cfRule>
    <cfRule type="cellIs" dxfId="506" priority="111" operator="lessThan">
      <formula>$Q$1</formula>
    </cfRule>
    <cfRule type="cellIs" dxfId="505" priority="112" operator="equal">
      <formula>"Erro"</formula>
    </cfRule>
  </conditionalFormatting>
  <conditionalFormatting sqref="AB7:AB12">
    <cfRule type="cellIs" dxfId="504" priority="100" operator="equal">
      <formula>"Erro"</formula>
    </cfRule>
    <cfRule type="cellIs" dxfId="503" priority="101" operator="equal">
      <formula>0</formula>
    </cfRule>
  </conditionalFormatting>
  <conditionalFormatting sqref="AF7">
    <cfRule type="cellIs" dxfId="502" priority="98" operator="equal">
      <formula>"Erro"</formula>
    </cfRule>
    <cfRule type="cellIs" dxfId="501" priority="99" operator="equal">
      <formula>0</formula>
    </cfRule>
  </conditionalFormatting>
  <conditionalFormatting sqref="AE3:AE4 AG3:AG4">
    <cfRule type="cellIs" dxfId="500" priority="93" operator="greaterThanOrEqual">
      <formula>1.05</formula>
    </cfRule>
    <cfRule type="cellIs" dxfId="499" priority="94" operator="greaterThanOrEqual">
      <formula>1</formula>
    </cfRule>
    <cfRule type="cellIs" dxfId="498" priority="95" operator="greaterThanOrEqual">
      <formula>$Q$1</formula>
    </cfRule>
    <cfRule type="cellIs" dxfId="497" priority="96" operator="lessThan">
      <formula>$Q$1</formula>
    </cfRule>
    <cfRule type="cellIs" dxfId="496" priority="97" operator="equal">
      <formula>"Erro"</formula>
    </cfRule>
  </conditionalFormatting>
  <conditionalFormatting sqref="AH7">
    <cfRule type="cellIs" dxfId="495" priority="84" operator="equal">
      <formula>"Erro"</formula>
    </cfRule>
    <cfRule type="cellIs" dxfId="494" priority="85" operator="equal">
      <formula>0</formula>
    </cfRule>
  </conditionalFormatting>
  <conditionalFormatting sqref="AG7:AG12">
    <cfRule type="cellIs" dxfId="493" priority="77" stopIfTrue="1" operator="equal">
      <formula>"-"</formula>
    </cfRule>
    <cfRule type="cellIs" dxfId="492" priority="78" stopIfTrue="1" operator="equal">
      <formula>"Erro"</formula>
    </cfRule>
    <cfRule type="cellIs" dxfId="491" priority="79" operator="greaterThanOrEqual">
      <formula>1.05</formula>
    </cfRule>
    <cfRule type="cellIs" dxfId="490" priority="80" operator="greaterThanOrEqual">
      <formula>1</formula>
    </cfRule>
    <cfRule type="cellIs" dxfId="489" priority="81" operator="greaterThanOrEqual">
      <formula>$Q$1</formula>
    </cfRule>
    <cfRule type="cellIs" dxfId="488" priority="82" operator="lessThan">
      <formula>$Q$1</formula>
    </cfRule>
    <cfRule type="cellIs" dxfId="487" priority="83" operator="equal">
      <formula>"Erro"</formula>
    </cfRule>
  </conditionalFormatting>
  <conditionalFormatting sqref="AI3:AI4">
    <cfRule type="cellIs" dxfId="486" priority="72" operator="greaterThanOrEqual">
      <formula>1.05</formula>
    </cfRule>
    <cfRule type="cellIs" dxfId="485" priority="73" operator="greaterThanOrEqual">
      <formula>1</formula>
    </cfRule>
    <cfRule type="cellIs" dxfId="484" priority="74" operator="greaterThanOrEqual">
      <formula>$Q$1</formula>
    </cfRule>
    <cfRule type="cellIs" dxfId="483" priority="75" operator="lessThan">
      <formula>$Q$1</formula>
    </cfRule>
    <cfRule type="cellIs" dxfId="482" priority="76" operator="equal">
      <formula>"Erro"</formula>
    </cfRule>
  </conditionalFormatting>
  <conditionalFormatting sqref="AI7:AI12">
    <cfRule type="cellIs" dxfId="481" priority="58" stopIfTrue="1" operator="equal">
      <formula>"-"</formula>
    </cfRule>
    <cfRule type="cellIs" dxfId="480" priority="59" stopIfTrue="1" operator="equal">
      <formula>"Erro"</formula>
    </cfRule>
    <cfRule type="cellIs" dxfId="479" priority="60" operator="greaterThanOrEqual">
      <formula>1.05</formula>
    </cfRule>
    <cfRule type="cellIs" dxfId="478" priority="61" operator="greaterThanOrEqual">
      <formula>1</formula>
    </cfRule>
    <cfRule type="cellIs" dxfId="477" priority="62" operator="greaterThanOrEqual">
      <formula>$Q$1</formula>
    </cfRule>
    <cfRule type="cellIs" dxfId="476" priority="63" operator="lessThan">
      <formula>$Q$1</formula>
    </cfRule>
    <cfRule type="cellIs" dxfId="475" priority="64" operator="equal">
      <formula>"Erro"</formula>
    </cfRule>
  </conditionalFormatting>
  <conditionalFormatting sqref="AJ7">
    <cfRule type="cellIs" dxfId="474" priority="54" operator="equal">
      <formula>"Erro"</formula>
    </cfRule>
    <cfRule type="cellIs" dxfId="473" priority="55" operator="equal">
      <formula>0</formula>
    </cfRule>
  </conditionalFormatting>
  <conditionalFormatting sqref="AK3:AK4">
    <cfRule type="cellIs" dxfId="472" priority="49" operator="greaterThanOrEqual">
      <formula>1.05</formula>
    </cfRule>
    <cfRule type="cellIs" dxfId="471" priority="50" operator="greaterThanOrEqual">
      <formula>1</formula>
    </cfRule>
    <cfRule type="cellIs" dxfId="470" priority="51" operator="greaterThanOrEqual">
      <formula>$Q$1</formula>
    </cfRule>
    <cfRule type="cellIs" dxfId="469" priority="52" operator="lessThan">
      <formula>$Q$1</formula>
    </cfRule>
    <cfRule type="cellIs" dxfId="468" priority="53" operator="equal">
      <formula>"Erro"</formula>
    </cfRule>
  </conditionalFormatting>
  <conditionalFormatting sqref="AK7:AK12">
    <cfRule type="cellIs" dxfId="467" priority="33" stopIfTrue="1" operator="equal">
      <formula>"-"</formula>
    </cfRule>
    <cfRule type="cellIs" dxfId="466" priority="34" stopIfTrue="1" operator="equal">
      <formula>"Erro"</formula>
    </cfRule>
    <cfRule type="cellIs" dxfId="465" priority="35" operator="greaterThanOrEqual">
      <formula>1.05</formula>
    </cfRule>
    <cfRule type="cellIs" dxfId="464" priority="36" operator="greaterThanOrEqual">
      <formula>1</formula>
    </cfRule>
    <cfRule type="cellIs" dxfId="463" priority="37" operator="greaterThanOrEqual">
      <formula>$Q$1</formula>
    </cfRule>
    <cfRule type="cellIs" dxfId="462" priority="38" operator="lessThan">
      <formula>$Q$1</formula>
    </cfRule>
    <cfRule type="cellIs" dxfId="461" priority="39" operator="equal">
      <formula>"Erro"</formula>
    </cfRule>
  </conditionalFormatting>
  <conditionalFormatting sqref="AL7">
    <cfRule type="cellIs" dxfId="460" priority="24" operator="equal">
      <formula>"Erro"</formula>
    </cfRule>
    <cfRule type="cellIs" dxfId="459" priority="25" operator="equal">
      <formula>0</formula>
    </cfRule>
  </conditionalFormatting>
  <conditionalFormatting sqref="AN7">
    <cfRule type="cellIs" dxfId="458" priority="15" operator="equal">
      <formula>"Erro"</formula>
    </cfRule>
    <cfRule type="cellIs" dxfId="457" priority="16" operator="equal">
      <formula>0</formula>
    </cfRule>
  </conditionalFormatting>
  <conditionalFormatting sqref="AM7:AM12">
    <cfRule type="cellIs" dxfId="456" priority="8" stopIfTrue="1" operator="equal">
      <formula>"-"</formula>
    </cfRule>
    <cfRule type="cellIs" dxfId="455" priority="9" stopIfTrue="1" operator="equal">
      <formula>"Erro"</formula>
    </cfRule>
    <cfRule type="cellIs" dxfId="454" priority="10" operator="greaterThanOrEqual">
      <formula>1.05</formula>
    </cfRule>
    <cfRule type="cellIs" dxfId="453" priority="11" operator="greaterThanOrEqual">
      <formula>1</formula>
    </cfRule>
    <cfRule type="cellIs" dxfId="452" priority="12" operator="greaterThanOrEqual">
      <formula>$Q$1</formula>
    </cfRule>
    <cfRule type="cellIs" dxfId="451" priority="13" operator="lessThan">
      <formula>$Q$1</formula>
    </cfRule>
    <cfRule type="cellIs" dxfId="450" priority="14" operator="equal">
      <formula>"Erro"</formula>
    </cfRule>
  </conditionalFormatting>
  <conditionalFormatting sqref="AC7:AC12">
    <cfRule type="cellIs" dxfId="449" priority="7" operator="equal">
      <formula>0</formula>
    </cfRule>
  </conditionalFormatting>
  <conditionalFormatting sqref="E7:N12">
    <cfRule type="cellIs" dxfId="448" priority="6" operator="equal">
      <formula>0</formula>
    </cfRule>
  </conditionalFormatting>
  <conditionalFormatting sqref="AM3:AM4">
    <cfRule type="cellIs" dxfId="447" priority="1" operator="greaterThanOrEqual">
      <formula>1.05</formula>
    </cfRule>
    <cfRule type="cellIs" dxfId="446" priority="2" operator="greaterThanOrEqual">
      <formula>1</formula>
    </cfRule>
    <cfRule type="cellIs" dxfId="445" priority="3" operator="greaterThanOrEqual">
      <formula>$Q$1</formula>
    </cfRule>
    <cfRule type="cellIs" dxfId="444" priority="4" operator="lessThan">
      <formula>$Q$1</formula>
    </cfRule>
    <cfRule type="cellIs" dxfId="443" priority="5" operator="equal">
      <formula>"Erro"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85878-E390-4940-B089-4A0F669FE5BE}">
  <sheetPr codeName="Planilha4"/>
  <dimension ref="A1:AF24"/>
  <sheetViews>
    <sheetView showGridLines="0" workbookViewId="0">
      <pane xSplit="2" ySplit="5" topLeftCell="T6" activePane="bottomRight" state="frozen"/>
      <selection pane="topRight" activeCell="C1" sqref="C1"/>
      <selection pane="bottomLeft" activeCell="A6" sqref="A6"/>
      <selection pane="bottomRight" activeCell="U3" sqref="U3"/>
    </sheetView>
  </sheetViews>
  <sheetFormatPr defaultRowHeight="15" x14ac:dyDescent="0.25"/>
  <cols>
    <col min="1" max="1" width="31.42578125" style="1" bestFit="1" customWidth="1"/>
    <col min="2" max="2" width="49" style="1" bestFit="1" customWidth="1"/>
    <col min="3" max="3" width="37.140625" style="1" bestFit="1" customWidth="1"/>
    <col min="4" max="4" width="32.7109375" style="1" bestFit="1" customWidth="1"/>
    <col min="5" max="5" width="10.7109375" style="1" bestFit="1" customWidth="1"/>
    <col min="6" max="6" width="14.85546875" style="1" bestFit="1" customWidth="1"/>
    <col min="7" max="7" width="18.5703125" bestFit="1" customWidth="1"/>
    <col min="8" max="8" width="18.140625" bestFit="1" customWidth="1"/>
    <col min="9" max="9" width="16.85546875" bestFit="1" customWidth="1"/>
    <col min="10" max="10" width="18.85546875" bestFit="1" customWidth="1"/>
    <col min="11" max="11" width="18.7109375" bestFit="1" customWidth="1"/>
    <col min="12" max="12" width="23.140625" style="1" bestFit="1" customWidth="1"/>
    <col min="13" max="13" width="22.7109375" style="1" bestFit="1" customWidth="1"/>
    <col min="14" max="14" width="21.42578125" style="1" bestFit="1" customWidth="1"/>
    <col min="15" max="15" width="23.42578125" style="1" bestFit="1" customWidth="1"/>
    <col min="16" max="16" width="23.28515625" style="1" bestFit="1" customWidth="1"/>
    <col min="17" max="17" width="23.5703125" style="1" bestFit="1" customWidth="1"/>
    <col min="18" max="18" width="23.140625" style="1" bestFit="1" customWidth="1"/>
    <col min="19" max="19" width="22" style="1" bestFit="1" customWidth="1"/>
    <col min="20" max="20" width="23.85546875" style="1" bestFit="1" customWidth="1"/>
    <col min="21" max="21" width="23.7109375" style="1" bestFit="1" customWidth="1"/>
    <col min="22" max="22" width="21" style="1" bestFit="1" customWidth="1"/>
    <col min="23" max="23" width="20.5703125" style="1" bestFit="1" customWidth="1"/>
    <col min="24" max="24" width="19.42578125" style="1" bestFit="1" customWidth="1"/>
    <col min="25" max="25" width="21.28515625" style="1" bestFit="1" customWidth="1"/>
    <col min="26" max="26" width="21.140625" style="1" bestFit="1" customWidth="1"/>
    <col min="27" max="27" width="22.42578125" style="1" bestFit="1" customWidth="1"/>
    <col min="28" max="28" width="23.140625" style="1" bestFit="1" customWidth="1"/>
    <col min="29" max="29" width="22" style="1" bestFit="1" customWidth="1"/>
    <col min="30" max="30" width="23.85546875" style="1" bestFit="1" customWidth="1"/>
    <col min="31" max="31" width="23.7109375" style="1" bestFit="1" customWidth="1"/>
    <col min="32" max="32" width="8.85546875" style="1" bestFit="1" customWidth="1"/>
    <col min="33" max="33" width="23.140625" style="1" bestFit="1" customWidth="1"/>
    <col min="34" max="34" width="22" style="1" bestFit="1" customWidth="1"/>
    <col min="35" max="35" width="23.85546875" style="1" bestFit="1" customWidth="1"/>
    <col min="36" max="36" width="23.7109375" style="1" bestFit="1" customWidth="1"/>
    <col min="37" max="16384" width="9.140625" style="1"/>
  </cols>
  <sheetData>
    <row r="1" spans="1:32" ht="18.75" x14ac:dyDescent="0.25">
      <c r="A1" s="8" t="s">
        <v>206</v>
      </c>
      <c r="G1" s="17">
        <v>66</v>
      </c>
      <c r="H1" s="17">
        <v>64</v>
      </c>
      <c r="I1" s="17">
        <v>62</v>
      </c>
      <c r="J1" s="17">
        <v>73</v>
      </c>
      <c r="K1" s="17">
        <v>70</v>
      </c>
      <c r="L1" s="17">
        <v>66</v>
      </c>
      <c r="M1" s="17">
        <v>64</v>
      </c>
      <c r="N1" s="17">
        <v>62</v>
      </c>
      <c r="O1" s="17">
        <v>73</v>
      </c>
      <c r="P1" s="17">
        <v>70</v>
      </c>
      <c r="V1" s="14">
        <v>3</v>
      </c>
      <c r="W1" s="14">
        <v>4</v>
      </c>
      <c r="X1" s="14">
        <v>5</v>
      </c>
      <c r="Y1" s="14">
        <v>6</v>
      </c>
      <c r="Z1" s="14">
        <v>7</v>
      </c>
      <c r="AA1" s="17">
        <v>66</v>
      </c>
      <c r="AB1" s="17">
        <v>64</v>
      </c>
      <c r="AC1" s="17">
        <v>62</v>
      </c>
      <c r="AD1" s="17">
        <v>73</v>
      </c>
      <c r="AE1" s="17">
        <v>70</v>
      </c>
    </row>
    <row r="2" spans="1:32" x14ac:dyDescent="0.25">
      <c r="G2" s="25" t="str">
        <f>IFERROR(VLOOKUP(G1,#REF!,2,0),"Erro")</f>
        <v>Erro</v>
      </c>
      <c r="H2" s="25" t="str">
        <f>IFERROR(VLOOKUP(H1,#REF!,2,0),"Erro")</f>
        <v>Erro</v>
      </c>
      <c r="I2" s="25" t="str">
        <f>IFERROR(VLOOKUP(I1,#REF!,2,0),"Erro")</f>
        <v>Erro</v>
      </c>
      <c r="J2" s="25" t="str">
        <f>IFERROR(VLOOKUP(J1,#REF!,2,0),"Erro")</f>
        <v>Erro</v>
      </c>
      <c r="K2" s="25" t="str">
        <f>IFERROR(VLOOKUP(K1,#REF!,2,0),"Erro")</f>
        <v>Erro</v>
      </c>
      <c r="L2" s="25" t="str">
        <f>IFERROR(VLOOKUP(L1,#REF!,2,0),"Erro")</f>
        <v>Erro</v>
      </c>
      <c r="M2" s="25" t="str">
        <f>IFERROR(VLOOKUP(M1,#REF!,2,0),"Erro")</f>
        <v>Erro</v>
      </c>
      <c r="N2" s="25" t="str">
        <f>IFERROR(VLOOKUP(N1,#REF!,2,0),"Erro")</f>
        <v>Erro</v>
      </c>
      <c r="O2" s="25" t="str">
        <f>IFERROR(VLOOKUP(O1,#REF!,2,0),"Erro")</f>
        <v>Erro</v>
      </c>
      <c r="P2" s="25" t="str">
        <f>IFERROR(VLOOKUP(P1,#REF!,2,0),"Erro")</f>
        <v>Erro</v>
      </c>
      <c r="V2" s="25" t="str">
        <f ca="1">OFFSET(Valores_Representantes_ESP[#Headers],0,V1-1,1,1)</f>
        <v>05.00%-Demanda-BERINERT</v>
      </c>
      <c r="W2" s="25" t="str">
        <f ca="1">OFFSET(Valores_Representantes_ESP[#Headers],0,W1-1,1,1)</f>
        <v>00.00%-Demanda-BERIPLEX</v>
      </c>
      <c r="X2" s="25" t="str">
        <f ca="1">OFFSET(Valores_Representantes_ESP[#Headers],0,X1-1,1,1)</f>
        <v>00.00%-Demanda-HAEMO</v>
      </c>
      <c r="Y2" s="25" t="str">
        <f ca="1">OFFSET(Valores_Representantes_ESP[#Headers],0,Y1-1,1,1)</f>
        <v>15.00%-Demanda-HIZENTRA</v>
      </c>
      <c r="Z2" s="25" t="str">
        <f ca="1">OFFSET(Valores_Representantes_ESP[#Headers],0,Z1-1,1,1)</f>
        <v>05.00%-Demanda-PRIVIGEN</v>
      </c>
      <c r="AA2" s="25" t="str">
        <f>IFERROR(VLOOKUP(AA1,#REF!,2,0),"Erro")</f>
        <v>Erro</v>
      </c>
      <c r="AB2" s="25" t="str">
        <f>IFERROR(VLOOKUP(AB1,#REF!,2,0),"Erro")</f>
        <v>Erro</v>
      </c>
      <c r="AC2" s="25" t="str">
        <f>IFERROR(VLOOKUP(AC1,#REF!,2,0),"Erro")</f>
        <v>Erro</v>
      </c>
      <c r="AD2" s="25" t="str">
        <f>IFERROR(VLOOKUP(AD1,#REF!,2,0),"Erro")</f>
        <v>Erro</v>
      </c>
      <c r="AE2" s="25" t="str">
        <f>IFERROR(VLOOKUP(AE1,#REF!,2,0),"Erro")</f>
        <v>Erro</v>
      </c>
    </row>
    <row r="3" spans="1:32" x14ac:dyDescent="0.25">
      <c r="G3" s="30">
        <f>SUM(Representantes_ESP[Cota BERINERT])</f>
        <v>357.84000000000003</v>
      </c>
      <c r="H3" s="30">
        <f>SUM(Representantes_ESP[Cota BERIPLEX])</f>
        <v>0</v>
      </c>
      <c r="I3" s="30">
        <f>SUM(Representantes_ESP[Cota HAEMO])</f>
        <v>0</v>
      </c>
      <c r="J3" s="30">
        <f>SUM(Representantes_ESP[Cota HIZENTRA])</f>
        <v>6873</v>
      </c>
      <c r="K3" s="30">
        <f>SUM(Representantes_ESP[Cota PRIVIGEN])</f>
        <v>63255.51</v>
      </c>
      <c r="L3" s="30" t="e">
        <f>SUM(Representantes_ESP[Demanda BERINERT])</f>
        <v>#REF!</v>
      </c>
      <c r="M3" s="30" t="e">
        <f>SUM(Representantes_ESP[Demanda BERIPLEX])</f>
        <v>#REF!</v>
      </c>
      <c r="N3" s="30" t="e">
        <f>SUM(Representantes_ESP[Demanda HAEMO])</f>
        <v>#REF!</v>
      </c>
      <c r="O3" s="30" t="e">
        <f>SUM(Representantes_ESP[Demanda HIZENTRA])</f>
        <v>#REF!</v>
      </c>
      <c r="P3" s="30" t="e">
        <f>SUM(Representantes_ESP[Demanda PRIVIGEN])</f>
        <v>#REF!</v>
      </c>
      <c r="Q3" s="35" t="e">
        <f>ROUNDUP(L3/G3,3)</f>
        <v>#REF!</v>
      </c>
      <c r="R3" s="37"/>
      <c r="S3" s="37"/>
      <c r="T3" s="35" t="e">
        <f t="shared" ref="T3:U4" si="0">ROUNDUP(O3/J3,3)</f>
        <v>#REF!</v>
      </c>
      <c r="U3" s="35" t="e">
        <f t="shared" si="0"/>
        <v>#REF!</v>
      </c>
      <c r="AA3" s="22"/>
      <c r="AB3" s="22"/>
      <c r="AC3" s="22"/>
      <c r="AD3" s="22"/>
      <c r="AE3" s="22"/>
    </row>
    <row r="4" spans="1:32" x14ac:dyDescent="0.25">
      <c r="G4" s="31">
        <f>SUBTOTAL(9,Representantes_ESP[Cota BERINERT])</f>
        <v>357.84000000000003</v>
      </c>
      <c r="H4" s="31">
        <f>SUBTOTAL(9,Representantes_ESP[Cota BERIPLEX])</f>
        <v>0</v>
      </c>
      <c r="I4" s="31">
        <f>SUBTOTAL(9,Representantes_ESP[Cota HAEMO])</f>
        <v>0</v>
      </c>
      <c r="J4" s="31">
        <f>SUBTOTAL(9,Representantes_ESP[Cota HIZENTRA])</f>
        <v>6873</v>
      </c>
      <c r="K4" s="31">
        <f>SUBTOTAL(9,Representantes_ESP[Cota PRIVIGEN])</f>
        <v>63255.51</v>
      </c>
      <c r="L4" s="31" t="e">
        <f>SUBTOTAL(9,Representantes_ESP[Demanda BERINERT])</f>
        <v>#REF!</v>
      </c>
      <c r="M4" s="31" t="e">
        <f>SUBTOTAL(9,Representantes_ESP[Demanda BERIPLEX])</f>
        <v>#REF!</v>
      </c>
      <c r="N4" s="31" t="e">
        <f>SUBTOTAL(9,Representantes_ESP[Demanda HAEMO])</f>
        <v>#REF!</v>
      </c>
      <c r="O4" s="31" t="e">
        <f>SUBTOTAL(9,Representantes_ESP[Demanda HIZENTRA])</f>
        <v>#REF!</v>
      </c>
      <c r="P4" s="31" t="e">
        <f>SUBTOTAL(9,Representantes_ESP[Demanda PRIVIGEN])</f>
        <v>#REF!</v>
      </c>
      <c r="Q4" s="35" t="e">
        <f>ROUNDUP(L4/G4,3)</f>
        <v>#REF!</v>
      </c>
      <c r="R4" s="37"/>
      <c r="S4" s="37"/>
      <c r="T4" s="35" t="e">
        <f t="shared" si="0"/>
        <v>#REF!</v>
      </c>
      <c r="U4" s="35" t="e">
        <f t="shared" si="0"/>
        <v>#REF!</v>
      </c>
      <c r="AA4" s="23"/>
      <c r="AB4" s="23"/>
      <c r="AC4" s="23"/>
      <c r="AD4" s="23"/>
      <c r="AE4" s="23"/>
    </row>
    <row r="5" spans="1:32" x14ac:dyDescent="0.25">
      <c r="A5" s="1" t="s">
        <v>196</v>
      </c>
      <c r="B5" s="1" t="s">
        <v>197</v>
      </c>
      <c r="C5" s="1" t="s">
        <v>110</v>
      </c>
      <c r="D5" s="1" t="s">
        <v>151</v>
      </c>
      <c r="E5" s="1" t="s">
        <v>152</v>
      </c>
      <c r="F5" s="1" t="s">
        <v>153</v>
      </c>
      <c r="G5" s="12" t="s">
        <v>165</v>
      </c>
      <c r="H5" s="12" t="s">
        <v>166</v>
      </c>
      <c r="I5" s="12" t="s">
        <v>167</v>
      </c>
      <c r="J5" s="12" t="s">
        <v>168</v>
      </c>
      <c r="K5" s="13" t="s">
        <v>169</v>
      </c>
      <c r="L5" s="12" t="s">
        <v>178</v>
      </c>
      <c r="M5" s="12" t="s">
        <v>179</v>
      </c>
      <c r="N5" s="12" t="s">
        <v>180</v>
      </c>
      <c r="O5" s="12" t="s">
        <v>181</v>
      </c>
      <c r="P5" s="13" t="s">
        <v>182</v>
      </c>
      <c r="Q5" s="19" t="s">
        <v>184</v>
      </c>
      <c r="R5" s="19" t="s">
        <v>185</v>
      </c>
      <c r="S5" s="19" t="s">
        <v>186</v>
      </c>
      <c r="T5" s="19" t="s">
        <v>187</v>
      </c>
      <c r="U5" s="19" t="s">
        <v>188</v>
      </c>
      <c r="V5" s="19" t="s">
        <v>189</v>
      </c>
      <c r="W5" s="19" t="s">
        <v>190</v>
      </c>
      <c r="X5" s="19" t="s">
        <v>191</v>
      </c>
      <c r="Y5" s="19" t="s">
        <v>192</v>
      </c>
      <c r="Z5" s="19" t="s">
        <v>193</v>
      </c>
      <c r="AA5" s="2" t="s">
        <v>207</v>
      </c>
      <c r="AB5" s="2" t="s">
        <v>208</v>
      </c>
      <c r="AC5" s="2" t="s">
        <v>210</v>
      </c>
      <c r="AD5" s="2" t="s">
        <v>209</v>
      </c>
      <c r="AE5" s="2" t="s">
        <v>211</v>
      </c>
      <c r="AF5" s="1" t="s">
        <v>216</v>
      </c>
    </row>
    <row r="6" spans="1:32" x14ac:dyDescent="0.25">
      <c r="A6" s="20" t="s">
        <v>98</v>
      </c>
      <c r="B6" s="9" t="s">
        <v>26</v>
      </c>
      <c r="C6" s="9" t="s">
        <v>112</v>
      </c>
      <c r="D6" s="9" t="s">
        <v>15</v>
      </c>
      <c r="E6" s="24" t="b">
        <v>1</v>
      </c>
      <c r="F6" s="24" t="b">
        <v>1</v>
      </c>
      <c r="G6" s="32">
        <f>SUMIFS(Cota_Demanda[Cota-Representante],Cota_Demanda['#FK-Email-Representante],Representantes_ESP[[#This Row],['#PK-Email-Representante-ESP]],Cota_Demanda['#FK-Cod-Linha],G$1)</f>
        <v>19.88</v>
      </c>
      <c r="H6" s="32">
        <f>SUMIFS(Cota_Demanda[Cota-Representante],Cota_Demanda['#FK-Email-Representante],Representantes_ESP[[#This Row],['#PK-Email-Representante-ESP]],Cota_Demanda['#FK-Cod-Linha],H$1)</f>
        <v>0</v>
      </c>
      <c r="I6" s="32">
        <f>SUMIFS(Cota_Demanda[Cota-Representante],Cota_Demanda['#FK-Email-Representante],Representantes_ESP[[#This Row],['#PK-Email-Representante-ESP]],Cota_Demanda['#FK-Cod-Linha],I$1)</f>
        <v>0</v>
      </c>
      <c r="J6" s="32">
        <f>SUMIFS(Cota_Demanda[Cota-Representante],Cota_Demanda['#FK-Email-Representante],Representantes_ESP[[#This Row],['#PK-Email-Representante-ESP]],Cota_Demanda['#FK-Cod-Linha],J$1)</f>
        <v>1343</v>
      </c>
      <c r="K6" s="32">
        <f>SUMIFS(Cota_Demanda[Cota-Representante],Cota_Demanda['#FK-Email-Representante],Representantes_ESP[[#This Row],['#PK-Email-Representante-ESP]],Cota_Demanda['#FK-Cod-Linha],K$1)</f>
        <v>8842.17</v>
      </c>
      <c r="L6" s="32" t="e">
        <f>SUMIFS(#REF!,#REF!,Representantes_ESP[[#This Row],['#PK-Email-Representante-ESP]],#REF!,L$1)</f>
        <v>#REF!</v>
      </c>
      <c r="M6" s="32" t="e">
        <f>SUMIFS(#REF!,#REF!,Representantes_ESP[[#This Row],['#PK-Email-Representante-ESP]],#REF!,M$1)</f>
        <v>#REF!</v>
      </c>
      <c r="N6" s="32" t="e">
        <f>SUMIFS(#REF!,#REF!,Representantes_ESP[[#This Row],['#PK-Email-Representante-ESP]],#REF!,N$1)</f>
        <v>#REF!</v>
      </c>
      <c r="O6" s="32" t="e">
        <f>SUMIFS(#REF!,#REF!,Representantes_ESP[[#This Row],['#PK-Email-Representante-ESP]],#REF!,O$1)</f>
        <v>#REF!</v>
      </c>
      <c r="P6" s="32" t="e">
        <f>SUMIFS(#REF!,#REF!,Representantes_ESP[[#This Row],['#PK-Email-Representante-ESP]],#REF!,P$1)</f>
        <v>#REF!</v>
      </c>
      <c r="Q6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Erro</v>
      </c>
      <c r="R6" s="38"/>
      <c r="S6" s="38"/>
      <c r="T6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Erro</v>
      </c>
      <c r="U6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Erro</v>
      </c>
      <c r="V6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Erro</v>
      </c>
      <c r="W6" s="10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0</v>
      </c>
      <c r="X6" s="10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0</v>
      </c>
      <c r="Y6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Erro</v>
      </c>
      <c r="Z6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Erro</v>
      </c>
      <c r="AA6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1</v>
      </c>
      <c r="AB6" s="28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6" s="28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6" s="28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1</v>
      </c>
      <c r="AE6" s="28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1</v>
      </c>
      <c r="AF6" s="10"/>
    </row>
    <row r="7" spans="1:32" x14ac:dyDescent="0.25">
      <c r="A7" s="20" t="s">
        <v>99</v>
      </c>
      <c r="B7" s="9" t="s">
        <v>27</v>
      </c>
      <c r="C7" s="9" t="s">
        <v>112</v>
      </c>
      <c r="D7" s="9" t="s">
        <v>15</v>
      </c>
      <c r="E7" s="24" t="b">
        <v>1</v>
      </c>
      <c r="F7" s="24" t="b">
        <v>1</v>
      </c>
      <c r="G7" s="32">
        <f>SUMIFS(Cota_Demanda[Cota-Representante],Cota_Demanda['#FK-Email-Representante],Representantes_ESP[[#This Row],['#PK-Email-Representante-ESP]],Cota_Demanda['#FK-Cod-Linha],G$1)</f>
        <v>19.88</v>
      </c>
      <c r="H7" s="32">
        <f>SUMIFS(Cota_Demanda[Cota-Representante],Cota_Demanda['#FK-Email-Representante],Representantes_ESP[[#This Row],['#PK-Email-Representante-ESP]],Cota_Demanda['#FK-Cod-Linha],H$1)</f>
        <v>0</v>
      </c>
      <c r="I7" s="32">
        <f>SUMIFS(Cota_Demanda[Cota-Representante],Cota_Demanda['#FK-Email-Representante],Representantes_ESP[[#This Row],['#PK-Email-Representante-ESP]],Cota_Demanda['#FK-Cod-Linha],I$1)</f>
        <v>0</v>
      </c>
      <c r="J7" s="32">
        <f>SUMIFS(Cota_Demanda[Cota-Representante],Cota_Demanda['#FK-Email-Representante],Representantes_ESP[[#This Row],['#PK-Email-Representante-ESP]],Cota_Demanda['#FK-Cod-Linha],J$1)</f>
        <v>948</v>
      </c>
      <c r="K7" s="32">
        <f>SUMIFS(Cota_Demanda[Cota-Representante],Cota_Demanda['#FK-Email-Representante],Representantes_ESP[[#This Row],['#PK-Email-Representante-ESP]],Cota_Demanda['#FK-Cod-Linha],K$1)</f>
        <v>10882.67</v>
      </c>
      <c r="L7" s="32" t="e">
        <f>SUMIFS(#REF!,#REF!,Representantes_ESP[[#This Row],['#PK-Email-Representante-ESP]],#REF!,L$1)</f>
        <v>#REF!</v>
      </c>
      <c r="M7" s="32" t="e">
        <f>SUMIFS(#REF!,#REF!,Representantes_ESP[[#This Row],['#PK-Email-Representante-ESP]],#REF!,M$1)</f>
        <v>#REF!</v>
      </c>
      <c r="N7" s="32" t="e">
        <f>SUMIFS(#REF!,#REF!,Representantes_ESP[[#This Row],['#PK-Email-Representante-ESP]],#REF!,N$1)</f>
        <v>#REF!</v>
      </c>
      <c r="O7" s="32" t="e">
        <f>SUMIFS(#REF!,#REF!,Representantes_ESP[[#This Row],['#PK-Email-Representante-ESP]],#REF!,O$1)</f>
        <v>#REF!</v>
      </c>
      <c r="P7" s="32" t="e">
        <f>SUMIFS(#REF!,#REF!,Representantes_ESP[[#This Row],['#PK-Email-Representante-ESP]],#REF!,P$1)</f>
        <v>#REF!</v>
      </c>
      <c r="Q7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Erro</v>
      </c>
      <c r="R7" s="38"/>
      <c r="S7" s="38"/>
      <c r="T7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Erro</v>
      </c>
      <c r="U7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Erro</v>
      </c>
      <c r="V7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Erro</v>
      </c>
      <c r="W7" s="10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0</v>
      </c>
      <c r="X7" s="10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0</v>
      </c>
      <c r="Y7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Erro</v>
      </c>
      <c r="Z7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Erro</v>
      </c>
      <c r="AA7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7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7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7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7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7" s="10"/>
    </row>
    <row r="8" spans="1:32" x14ac:dyDescent="0.25">
      <c r="A8" s="20" t="s">
        <v>100</v>
      </c>
      <c r="B8" s="9" t="s">
        <v>28</v>
      </c>
      <c r="C8" s="9" t="s">
        <v>94</v>
      </c>
      <c r="D8" s="9" t="s">
        <v>17</v>
      </c>
      <c r="E8" s="24" t="b">
        <v>1</v>
      </c>
      <c r="F8" s="24" t="b">
        <v>1</v>
      </c>
      <c r="G8" s="32">
        <f>SUMIFS(Cota_Demanda[Cota-Representante],Cota_Demanda['#FK-Email-Representante],Representantes_ESP[[#This Row],['#PK-Email-Representante-ESP]],Cota_Demanda['#FK-Cod-Linha],G$1)</f>
        <v>19.88</v>
      </c>
      <c r="H8" s="32">
        <f>SUMIFS(Cota_Demanda[Cota-Representante],Cota_Demanda['#FK-Email-Representante],Representantes_ESP[[#This Row],['#PK-Email-Representante-ESP]],Cota_Demanda['#FK-Cod-Linha],H$1)</f>
        <v>0</v>
      </c>
      <c r="I8" s="32">
        <f>SUMIFS(Cota_Demanda[Cota-Representante],Cota_Demanda['#FK-Email-Representante],Representantes_ESP[[#This Row],['#PK-Email-Representante-ESP]],Cota_Demanda['#FK-Cod-Linha],I$1)</f>
        <v>0</v>
      </c>
      <c r="J8" s="32">
        <f>SUMIFS(Cota_Demanda[Cota-Representante],Cota_Demanda['#FK-Email-Representante],Representantes_ESP[[#This Row],['#PK-Email-Representante-ESP]],Cota_Demanda['#FK-Cod-Linha],J$1)</f>
        <v>1659</v>
      </c>
      <c r="K8" s="32">
        <f>SUMIFS(Cota_Demanda[Cota-Representante],Cota_Demanda['#FK-Email-Representante],Representantes_ESP[[#This Row],['#PK-Email-Representante-ESP]],Cota_Demanda['#FK-Cod-Linha],K$1)</f>
        <v>10202.5</v>
      </c>
      <c r="L8" s="32" t="e">
        <f>SUMIFS(#REF!,#REF!,Representantes_ESP[[#This Row],['#PK-Email-Representante-ESP]],#REF!,L$1)</f>
        <v>#REF!</v>
      </c>
      <c r="M8" s="32" t="e">
        <f>SUMIFS(#REF!,#REF!,Representantes_ESP[[#This Row],['#PK-Email-Representante-ESP]],#REF!,M$1)</f>
        <v>#REF!</v>
      </c>
      <c r="N8" s="32" t="e">
        <f>SUMIFS(#REF!,#REF!,Representantes_ESP[[#This Row],['#PK-Email-Representante-ESP]],#REF!,N$1)</f>
        <v>#REF!</v>
      </c>
      <c r="O8" s="32" t="e">
        <f>SUMIFS(#REF!,#REF!,Representantes_ESP[[#This Row],['#PK-Email-Representante-ESP]],#REF!,O$1)</f>
        <v>#REF!</v>
      </c>
      <c r="P8" s="32" t="e">
        <f>SUMIFS(#REF!,#REF!,Representantes_ESP[[#This Row],['#PK-Email-Representante-ESP]],#REF!,P$1)</f>
        <v>#REF!</v>
      </c>
      <c r="Q8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Erro</v>
      </c>
      <c r="R8" s="38"/>
      <c r="S8" s="38"/>
      <c r="T8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Erro</v>
      </c>
      <c r="U8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Erro</v>
      </c>
      <c r="V8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Erro</v>
      </c>
      <c r="W8" s="10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0</v>
      </c>
      <c r="X8" s="10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0</v>
      </c>
      <c r="Y8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Erro</v>
      </c>
      <c r="Z8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Erro</v>
      </c>
      <c r="AA8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8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8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8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8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8" s="10"/>
    </row>
    <row r="9" spans="1:32" x14ac:dyDescent="0.25">
      <c r="A9" s="20" t="s">
        <v>101</v>
      </c>
      <c r="B9" s="9" t="s">
        <v>31</v>
      </c>
      <c r="C9" s="9" t="s">
        <v>112</v>
      </c>
      <c r="D9" s="9" t="s">
        <v>15</v>
      </c>
      <c r="E9" s="24" t="b">
        <v>1</v>
      </c>
      <c r="F9" s="24" t="b">
        <v>1</v>
      </c>
      <c r="G9" s="32">
        <f>SUMIFS(Cota_Demanda[Cota-Representante],Cota_Demanda['#FK-Email-Representante],Representantes_ESP[[#This Row],['#PK-Email-Representante-ESP]],Cota_Demanda['#FK-Cod-Linha],G$1)</f>
        <v>39.76</v>
      </c>
      <c r="H9" s="32">
        <f>SUMIFS(Cota_Demanda[Cota-Representante],Cota_Demanda['#FK-Email-Representante],Representantes_ESP[[#This Row],['#PK-Email-Representante-ESP]],Cota_Demanda['#FK-Cod-Linha],H$1)</f>
        <v>0</v>
      </c>
      <c r="I9" s="32">
        <f>SUMIFS(Cota_Demanda[Cota-Representante],Cota_Demanda['#FK-Email-Representante],Representantes_ESP[[#This Row],['#PK-Email-Representante-ESP]],Cota_Demanda['#FK-Cod-Linha],I$1)</f>
        <v>0</v>
      </c>
      <c r="J9" s="32">
        <f>SUMIFS(Cota_Demanda[Cota-Representante],Cota_Demanda['#FK-Email-Representante],Representantes_ESP[[#This Row],['#PK-Email-Representante-ESP]],Cota_Demanda['#FK-Cod-Linha],J$1)</f>
        <v>948</v>
      </c>
      <c r="K9" s="32">
        <f>SUMIFS(Cota_Demanda[Cota-Representante],Cota_Demanda['#FK-Email-Representante],Representantes_ESP[[#This Row],['#PK-Email-Representante-ESP]],Cota_Demanda['#FK-Cod-Linha],K$1)</f>
        <v>8842.17</v>
      </c>
      <c r="L9" s="32" t="e">
        <f>SUMIFS(#REF!,#REF!,Representantes_ESP[[#This Row],['#PK-Email-Representante-ESP]],#REF!,L$1)</f>
        <v>#REF!</v>
      </c>
      <c r="M9" s="32" t="e">
        <f>SUMIFS(#REF!,#REF!,Representantes_ESP[[#This Row],['#PK-Email-Representante-ESP]],#REF!,M$1)</f>
        <v>#REF!</v>
      </c>
      <c r="N9" s="32" t="e">
        <f>SUMIFS(#REF!,#REF!,Representantes_ESP[[#This Row],['#PK-Email-Representante-ESP]],#REF!,N$1)</f>
        <v>#REF!</v>
      </c>
      <c r="O9" s="32" t="e">
        <f>SUMIFS(#REF!,#REF!,Representantes_ESP[[#This Row],['#PK-Email-Representante-ESP]],#REF!,O$1)</f>
        <v>#REF!</v>
      </c>
      <c r="P9" s="32" t="e">
        <f>SUMIFS(#REF!,#REF!,Representantes_ESP[[#This Row],['#PK-Email-Representante-ESP]],#REF!,P$1)</f>
        <v>#REF!</v>
      </c>
      <c r="Q9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Erro</v>
      </c>
      <c r="R9" s="38"/>
      <c r="S9" s="38"/>
      <c r="T9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Erro</v>
      </c>
      <c r="U9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Erro</v>
      </c>
      <c r="V9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Erro</v>
      </c>
      <c r="W9" s="10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0</v>
      </c>
      <c r="X9" s="10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0</v>
      </c>
      <c r="Y9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Erro</v>
      </c>
      <c r="Z9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Erro</v>
      </c>
      <c r="AA9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9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9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9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9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9" s="10"/>
    </row>
    <row r="10" spans="1:32" x14ac:dyDescent="0.25">
      <c r="A10" s="20" t="s">
        <v>102</v>
      </c>
      <c r="B10" s="9" t="s">
        <v>37</v>
      </c>
      <c r="C10" s="9" t="s">
        <v>94</v>
      </c>
      <c r="D10" s="9" t="s">
        <v>17</v>
      </c>
      <c r="E10" s="24" t="b">
        <v>1</v>
      </c>
      <c r="F10" s="24" t="b">
        <v>1</v>
      </c>
      <c r="G10" s="32">
        <f>SUMIFS(Cota_Demanda[Cota-Representante],Cota_Demanda['#FK-Email-Representante],Representantes_ESP[[#This Row],['#PK-Email-Representante-ESP]],Cota_Demanda['#FK-Cod-Linha],G$1)</f>
        <v>159.04</v>
      </c>
      <c r="H10" s="32">
        <f>SUMIFS(Cota_Demanda[Cota-Representante],Cota_Demanda['#FK-Email-Representante],Representantes_ESP[[#This Row],['#PK-Email-Representante-ESP]],Cota_Demanda['#FK-Cod-Linha],H$1)</f>
        <v>0</v>
      </c>
      <c r="I10" s="32">
        <f>SUMIFS(Cota_Demanda[Cota-Representante],Cota_Demanda['#FK-Email-Representante],Representantes_ESP[[#This Row],['#PK-Email-Representante-ESP]],Cota_Demanda['#FK-Cod-Linha],I$1)</f>
        <v>0</v>
      </c>
      <c r="J10" s="32">
        <f>SUMIFS(Cota_Demanda[Cota-Representante],Cota_Demanda['#FK-Email-Representante],Representantes_ESP[[#This Row],['#PK-Email-Representante-ESP]],Cota_Demanda['#FK-Cod-Linha],J$1)</f>
        <v>1027</v>
      </c>
      <c r="K10" s="32">
        <f>SUMIFS(Cota_Demanda[Cota-Representante],Cota_Demanda['#FK-Email-Representante],Representantes_ESP[[#This Row],['#PK-Email-Representante-ESP]],Cota_Demanda['#FK-Cod-Linha],K$1)</f>
        <v>16324</v>
      </c>
      <c r="L10" s="32" t="e">
        <f>SUMIFS(#REF!,#REF!,Representantes_ESP[[#This Row],['#PK-Email-Representante-ESP]],#REF!,L$1)</f>
        <v>#REF!</v>
      </c>
      <c r="M10" s="32" t="e">
        <f>SUMIFS(#REF!,#REF!,Representantes_ESP[[#This Row],['#PK-Email-Representante-ESP]],#REF!,M$1)</f>
        <v>#REF!</v>
      </c>
      <c r="N10" s="32" t="e">
        <f>SUMIFS(#REF!,#REF!,Representantes_ESP[[#This Row],['#PK-Email-Representante-ESP]],#REF!,N$1)</f>
        <v>#REF!</v>
      </c>
      <c r="O10" s="32" t="e">
        <f>SUMIFS(#REF!,#REF!,Representantes_ESP[[#This Row],['#PK-Email-Representante-ESP]],#REF!,O$1)</f>
        <v>#REF!</v>
      </c>
      <c r="P10" s="32" t="e">
        <f>SUMIFS(#REF!,#REF!,Representantes_ESP[[#This Row],['#PK-Email-Representante-ESP]],#REF!,P$1)</f>
        <v>#REF!</v>
      </c>
      <c r="Q10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Erro</v>
      </c>
      <c r="R10" s="38"/>
      <c r="S10" s="38"/>
      <c r="T10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Erro</v>
      </c>
      <c r="U10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Erro</v>
      </c>
      <c r="V10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Erro</v>
      </c>
      <c r="W10" s="10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0</v>
      </c>
      <c r="X10" s="10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0</v>
      </c>
      <c r="Y10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Erro</v>
      </c>
      <c r="Z10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Erro</v>
      </c>
      <c r="AA10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0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0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0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0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0" s="10"/>
    </row>
    <row r="11" spans="1:32" x14ac:dyDescent="0.25">
      <c r="A11" s="20" t="s">
        <v>103</v>
      </c>
      <c r="B11" s="9" t="s">
        <v>41</v>
      </c>
      <c r="C11" s="9" t="s">
        <v>96</v>
      </c>
      <c r="D11" s="9" t="s">
        <v>16</v>
      </c>
      <c r="E11" s="24" t="b">
        <v>1</v>
      </c>
      <c r="F11" s="24" t="b">
        <v>1</v>
      </c>
      <c r="G11" s="32">
        <f>SUMIFS(Cota_Demanda[Cota-Representante],Cota_Demanda['#FK-Email-Representante],Representantes_ESP[[#This Row],['#PK-Email-Representante-ESP]],Cota_Demanda['#FK-Cod-Linha],G$1)</f>
        <v>99.4</v>
      </c>
      <c r="H11" s="32">
        <f>SUMIFS(Cota_Demanda[Cota-Representante],Cota_Demanda['#FK-Email-Representante],Representantes_ESP[[#This Row],['#PK-Email-Representante-ESP]],Cota_Demanda['#FK-Cod-Linha],H$1)</f>
        <v>0</v>
      </c>
      <c r="I11" s="32">
        <f>SUMIFS(Cota_Demanda[Cota-Representante],Cota_Demanda['#FK-Email-Representante],Representantes_ESP[[#This Row],['#PK-Email-Representante-ESP]],Cota_Demanda['#FK-Cod-Linha],I$1)</f>
        <v>0</v>
      </c>
      <c r="J11" s="32">
        <f>SUMIFS(Cota_Demanda[Cota-Representante],Cota_Demanda['#FK-Email-Representante],Representantes_ESP[[#This Row],['#PK-Email-Representante-ESP]],Cota_Demanda['#FK-Cod-Linha],J$1)</f>
        <v>948</v>
      </c>
      <c r="K11" s="32">
        <f>SUMIFS(Cota_Demanda[Cota-Representante],Cota_Demanda['#FK-Email-Representante],Representantes_ESP[[#This Row],['#PK-Email-Representante-ESP]],Cota_Demanda['#FK-Cod-Linha],K$1)</f>
        <v>8162</v>
      </c>
      <c r="L11" s="32" t="e">
        <f>SUMIFS(#REF!,#REF!,Representantes_ESP[[#This Row],['#PK-Email-Representante-ESP]],#REF!,L$1)</f>
        <v>#REF!</v>
      </c>
      <c r="M11" s="32" t="e">
        <f>SUMIFS(#REF!,#REF!,Representantes_ESP[[#This Row],['#PK-Email-Representante-ESP]],#REF!,M$1)</f>
        <v>#REF!</v>
      </c>
      <c r="N11" s="32" t="e">
        <f>SUMIFS(#REF!,#REF!,Representantes_ESP[[#This Row],['#PK-Email-Representante-ESP]],#REF!,N$1)</f>
        <v>#REF!</v>
      </c>
      <c r="O11" s="32" t="e">
        <f>SUMIFS(#REF!,#REF!,Representantes_ESP[[#This Row],['#PK-Email-Representante-ESP]],#REF!,O$1)</f>
        <v>#REF!</v>
      </c>
      <c r="P11" s="32" t="e">
        <f>SUMIFS(#REF!,#REF!,Representantes_ESP[[#This Row],['#PK-Email-Representante-ESP]],#REF!,P$1)</f>
        <v>#REF!</v>
      </c>
      <c r="Q11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Erro</v>
      </c>
      <c r="R11" s="38"/>
      <c r="S11" s="38"/>
      <c r="T11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Erro</v>
      </c>
      <c r="U11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Erro</v>
      </c>
      <c r="V11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Erro</v>
      </c>
      <c r="W11" s="10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0</v>
      </c>
      <c r="X11" s="10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0</v>
      </c>
      <c r="Y11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Erro</v>
      </c>
      <c r="Z11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Erro</v>
      </c>
      <c r="AA11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1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1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1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1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1" s="10"/>
    </row>
    <row r="12" spans="1:32" x14ac:dyDescent="0.25">
      <c r="A12" s="20" t="s">
        <v>45</v>
      </c>
      <c r="B12" s="9" t="s">
        <v>80</v>
      </c>
      <c r="C12" s="9" t="s">
        <v>44</v>
      </c>
      <c r="D12" s="9" t="s">
        <v>21</v>
      </c>
      <c r="E12" s="24" t="b">
        <v>1</v>
      </c>
      <c r="F12" s="24" t="b">
        <v>0</v>
      </c>
      <c r="G12" s="32">
        <f>SUMIFS(Cota_Demanda[Cota-Representante],Cota_Demanda['#FK-Email-Representante],Representantes_ESP[[#This Row],['#PK-Email-Representante-ESP]],Cota_Demanda['#FK-Cod-Linha],G$1)</f>
        <v>0</v>
      </c>
      <c r="H12" s="32">
        <f>SUMIFS(Cota_Demanda[Cota-Representante],Cota_Demanda['#FK-Email-Representante],Representantes_ESP[[#This Row],['#PK-Email-Representante-ESP]],Cota_Demanda['#FK-Cod-Linha],H$1)</f>
        <v>0</v>
      </c>
      <c r="I12" s="32">
        <f>SUMIFS(Cota_Demanda[Cota-Representante],Cota_Demanda['#FK-Email-Representante],Representantes_ESP[[#This Row],['#PK-Email-Representante-ESP]],Cota_Demanda['#FK-Cod-Linha],I$1)</f>
        <v>0</v>
      </c>
      <c r="J12" s="32">
        <f>SUMIFS(Cota_Demanda[Cota-Representante],Cota_Demanda['#FK-Email-Representante],Representantes_ESP[[#This Row],['#PK-Email-Representante-ESP]],Cota_Demanda['#FK-Cod-Linha],J$1)</f>
        <v>0</v>
      </c>
      <c r="K12" s="32">
        <f>SUMIFS(Cota_Demanda[Cota-Representante],Cota_Demanda['#FK-Email-Representante],Representantes_ESP[[#This Row],['#PK-Email-Representante-ESP]],Cota_Demanda['#FK-Cod-Linha],K$1)</f>
        <v>0</v>
      </c>
      <c r="L12" s="32" t="e">
        <f>SUMIFS(#REF!,#REF!,Representantes_ESP[[#This Row],['#PK-Email-Representante-ESP]],#REF!,L$1)</f>
        <v>#REF!</v>
      </c>
      <c r="M12" s="32" t="e">
        <f>SUMIFS(#REF!,#REF!,Representantes_ESP[[#This Row],['#PK-Email-Representante-ESP]],#REF!,M$1)</f>
        <v>#REF!</v>
      </c>
      <c r="N12" s="32" t="e">
        <f>SUMIFS(#REF!,#REF!,Representantes_ESP[[#This Row],['#PK-Email-Representante-ESP]],#REF!,N$1)</f>
        <v>#REF!</v>
      </c>
      <c r="O12" s="32" t="e">
        <f>SUMIFS(#REF!,#REF!,Representantes_ESP[[#This Row],['#PK-Email-Representante-ESP]],#REF!,O$1)</f>
        <v>#REF!</v>
      </c>
      <c r="P12" s="32" t="e">
        <f>SUMIFS(#REF!,#REF!,Representantes_ESP[[#This Row],['#PK-Email-Representante-ESP]],#REF!,P$1)</f>
        <v>#REF!</v>
      </c>
      <c r="Q12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2" s="38"/>
      <c r="S12" s="38"/>
      <c r="T12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2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2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2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2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2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2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2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2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2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2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2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2" s="10"/>
    </row>
    <row r="13" spans="1:32" x14ac:dyDescent="0.25">
      <c r="A13" s="20" t="s">
        <v>198</v>
      </c>
      <c r="B13" s="9" t="s">
        <v>81</v>
      </c>
      <c r="C13" s="9" t="s">
        <v>142</v>
      </c>
      <c r="D13" s="9" t="s">
        <v>14</v>
      </c>
      <c r="E13" s="24" t="b">
        <v>1</v>
      </c>
      <c r="F13" s="24" t="b">
        <v>0</v>
      </c>
      <c r="G13" s="32">
        <f>SUMIFS(Cota_Demanda[Cota-Representante],Cota_Demanda['#FK-Email-Representante],Representantes_ESP[[#This Row],['#PK-Email-Representante-ESP]],Cota_Demanda['#FK-Cod-Linha],G$1)</f>
        <v>0</v>
      </c>
      <c r="H13" s="32">
        <f>SUMIFS(Cota_Demanda[Cota-Representante],Cota_Demanda['#FK-Email-Representante],Representantes_ESP[[#This Row],['#PK-Email-Representante-ESP]],Cota_Demanda['#FK-Cod-Linha],H$1)</f>
        <v>0</v>
      </c>
      <c r="I13" s="32">
        <f>SUMIFS(Cota_Demanda[Cota-Representante],Cota_Demanda['#FK-Email-Representante],Representantes_ESP[[#This Row],['#PK-Email-Representante-ESP]],Cota_Demanda['#FK-Cod-Linha],I$1)</f>
        <v>0</v>
      </c>
      <c r="J13" s="32">
        <f>SUMIFS(Cota_Demanda[Cota-Representante],Cota_Demanda['#FK-Email-Representante],Representantes_ESP[[#This Row],['#PK-Email-Representante-ESP]],Cota_Demanda['#FK-Cod-Linha],J$1)</f>
        <v>0</v>
      </c>
      <c r="K13" s="32">
        <f>SUMIFS(Cota_Demanda[Cota-Representante],Cota_Demanda['#FK-Email-Representante],Representantes_ESP[[#This Row],['#PK-Email-Representante-ESP]],Cota_Demanda['#FK-Cod-Linha],K$1)</f>
        <v>0</v>
      </c>
      <c r="L13" s="32" t="e">
        <f>SUMIFS(#REF!,#REF!,Representantes_ESP[[#This Row],['#PK-Email-Representante-ESP]],#REF!,L$1)</f>
        <v>#REF!</v>
      </c>
      <c r="M13" s="32" t="e">
        <f>SUMIFS(#REF!,#REF!,Representantes_ESP[[#This Row],['#PK-Email-Representante-ESP]],#REF!,M$1)</f>
        <v>#REF!</v>
      </c>
      <c r="N13" s="32" t="e">
        <f>SUMIFS(#REF!,#REF!,Representantes_ESP[[#This Row],['#PK-Email-Representante-ESP]],#REF!,N$1)</f>
        <v>#REF!</v>
      </c>
      <c r="O13" s="32" t="e">
        <f>SUMIFS(#REF!,#REF!,Representantes_ESP[[#This Row],['#PK-Email-Representante-ESP]],#REF!,O$1)</f>
        <v>#REF!</v>
      </c>
      <c r="P13" s="32" t="e">
        <f>SUMIFS(#REF!,#REF!,Representantes_ESP[[#This Row],['#PK-Email-Representante-ESP]],#REF!,P$1)</f>
        <v>#REF!</v>
      </c>
      <c r="Q13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3" s="38"/>
      <c r="S13" s="38"/>
      <c r="T13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3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3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3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3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3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3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3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3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3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3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3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3" s="10"/>
    </row>
    <row r="14" spans="1:32" x14ac:dyDescent="0.25">
      <c r="A14" s="20" t="s">
        <v>143</v>
      </c>
      <c r="B14" s="9" t="s">
        <v>38</v>
      </c>
      <c r="C14" s="9" t="s">
        <v>142</v>
      </c>
      <c r="D14" s="9" t="s">
        <v>14</v>
      </c>
      <c r="E14" s="24" t="b">
        <v>1</v>
      </c>
      <c r="F14" s="24" t="b">
        <v>0</v>
      </c>
      <c r="G14" s="32">
        <f>SUMIFS(Cota_Demanda[Cota-Representante],Cota_Demanda['#FK-Email-Representante],Representantes_ESP[[#This Row],['#PK-Email-Representante-ESP]],Cota_Demanda['#FK-Cod-Linha],G$1)</f>
        <v>0</v>
      </c>
      <c r="H14" s="32">
        <f>SUMIFS(Cota_Demanda[Cota-Representante],Cota_Demanda['#FK-Email-Representante],Representantes_ESP[[#This Row],['#PK-Email-Representante-ESP]],Cota_Demanda['#FK-Cod-Linha],H$1)</f>
        <v>0</v>
      </c>
      <c r="I14" s="32">
        <f>SUMIFS(Cota_Demanda[Cota-Representante],Cota_Demanda['#FK-Email-Representante],Representantes_ESP[[#This Row],['#PK-Email-Representante-ESP]],Cota_Demanda['#FK-Cod-Linha],I$1)</f>
        <v>0</v>
      </c>
      <c r="J14" s="32">
        <f>SUMIFS(Cota_Demanda[Cota-Representante],Cota_Demanda['#FK-Email-Representante],Representantes_ESP[[#This Row],['#PK-Email-Representante-ESP]],Cota_Demanda['#FK-Cod-Linha],J$1)</f>
        <v>0</v>
      </c>
      <c r="K14" s="32">
        <f>SUMIFS(Cota_Demanda[Cota-Representante],Cota_Demanda['#FK-Email-Representante],Representantes_ESP[[#This Row],['#PK-Email-Representante-ESP]],Cota_Demanda['#FK-Cod-Linha],K$1)</f>
        <v>0</v>
      </c>
      <c r="L14" s="32" t="e">
        <f>SUMIFS(#REF!,#REF!,Representantes_ESP[[#This Row],['#PK-Email-Representante-ESP]],#REF!,L$1)</f>
        <v>#REF!</v>
      </c>
      <c r="M14" s="32" t="e">
        <f>SUMIFS(#REF!,#REF!,Representantes_ESP[[#This Row],['#PK-Email-Representante-ESP]],#REF!,M$1)</f>
        <v>#REF!</v>
      </c>
      <c r="N14" s="32" t="e">
        <f>SUMIFS(#REF!,#REF!,Representantes_ESP[[#This Row],['#PK-Email-Representante-ESP]],#REF!,N$1)</f>
        <v>#REF!</v>
      </c>
      <c r="O14" s="32" t="e">
        <f>SUMIFS(#REF!,#REF!,Representantes_ESP[[#This Row],['#PK-Email-Representante-ESP]],#REF!,O$1)</f>
        <v>#REF!</v>
      </c>
      <c r="P14" s="32" t="e">
        <f>SUMIFS(#REF!,#REF!,Representantes_ESP[[#This Row],['#PK-Email-Representante-ESP]],#REF!,P$1)</f>
        <v>#REF!</v>
      </c>
      <c r="Q14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4" s="38"/>
      <c r="S14" s="38"/>
      <c r="T14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4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4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4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4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4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4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4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4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4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4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4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4" s="10"/>
    </row>
    <row r="15" spans="1:32" x14ac:dyDescent="0.25">
      <c r="A15" s="20" t="s">
        <v>145</v>
      </c>
      <c r="B15" s="9" t="s">
        <v>82</v>
      </c>
      <c r="C15" s="9" t="s">
        <v>144</v>
      </c>
      <c r="D15" s="9" t="s">
        <v>22</v>
      </c>
      <c r="E15" s="24" t="b">
        <v>1</v>
      </c>
      <c r="F15" s="24" t="b">
        <v>0</v>
      </c>
      <c r="G15" s="32">
        <f>SUMIFS(Cota_Demanda[Cota-Representante],Cota_Demanda['#FK-Email-Representante],Representantes_ESP[[#This Row],['#PK-Email-Representante-ESP]],Cota_Demanda['#FK-Cod-Linha],G$1)</f>
        <v>0</v>
      </c>
      <c r="H15" s="32">
        <f>SUMIFS(Cota_Demanda[Cota-Representante],Cota_Demanda['#FK-Email-Representante],Representantes_ESP[[#This Row],['#PK-Email-Representante-ESP]],Cota_Demanda['#FK-Cod-Linha],H$1)</f>
        <v>0</v>
      </c>
      <c r="I15" s="32">
        <f>SUMIFS(Cota_Demanda[Cota-Representante],Cota_Demanda['#FK-Email-Representante],Representantes_ESP[[#This Row],['#PK-Email-Representante-ESP]],Cota_Demanda['#FK-Cod-Linha],I$1)</f>
        <v>0</v>
      </c>
      <c r="J15" s="32">
        <f>SUMIFS(Cota_Demanda[Cota-Representante],Cota_Demanda['#FK-Email-Representante],Representantes_ESP[[#This Row],['#PK-Email-Representante-ESP]],Cota_Demanda['#FK-Cod-Linha],J$1)</f>
        <v>0</v>
      </c>
      <c r="K15" s="32">
        <f>SUMIFS(Cota_Demanda[Cota-Representante],Cota_Demanda['#FK-Email-Representante],Representantes_ESP[[#This Row],['#PK-Email-Representante-ESP]],Cota_Demanda['#FK-Cod-Linha],K$1)</f>
        <v>0</v>
      </c>
      <c r="L15" s="32" t="e">
        <f>SUMIFS(#REF!,#REF!,Representantes_ESP[[#This Row],['#PK-Email-Representante-ESP]],#REF!,L$1)</f>
        <v>#REF!</v>
      </c>
      <c r="M15" s="32" t="e">
        <f>SUMIFS(#REF!,#REF!,Representantes_ESP[[#This Row],['#PK-Email-Representante-ESP]],#REF!,M$1)</f>
        <v>#REF!</v>
      </c>
      <c r="N15" s="32" t="e">
        <f>SUMIFS(#REF!,#REF!,Representantes_ESP[[#This Row],['#PK-Email-Representante-ESP]],#REF!,N$1)</f>
        <v>#REF!</v>
      </c>
      <c r="O15" s="32" t="e">
        <f>SUMIFS(#REF!,#REF!,Representantes_ESP[[#This Row],['#PK-Email-Representante-ESP]],#REF!,O$1)</f>
        <v>#REF!</v>
      </c>
      <c r="P15" s="32" t="e">
        <f>SUMIFS(#REF!,#REF!,Representantes_ESP[[#This Row],['#PK-Email-Representante-ESP]],#REF!,P$1)</f>
        <v>#REF!</v>
      </c>
      <c r="Q15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5" s="38"/>
      <c r="S15" s="38"/>
      <c r="T15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5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5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5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5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5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5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5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5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5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5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5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5" s="10"/>
    </row>
    <row r="16" spans="1:32" x14ac:dyDescent="0.25">
      <c r="A16" s="20" t="s">
        <v>116</v>
      </c>
      <c r="B16" s="9" t="s">
        <v>88</v>
      </c>
      <c r="C16" s="9" t="s">
        <v>96</v>
      </c>
      <c r="D16" s="9" t="s">
        <v>16</v>
      </c>
      <c r="E16" s="24" t="b">
        <v>1</v>
      </c>
      <c r="F16" s="24" t="b">
        <v>0</v>
      </c>
      <c r="G16" s="32">
        <f>SUMIFS(Cota_Demanda[Cota-Representante],Cota_Demanda['#FK-Email-Representante],Representantes_ESP[[#This Row],['#PK-Email-Representante-ESP]],Cota_Demanda['#FK-Cod-Linha],G$1)</f>
        <v>0</v>
      </c>
      <c r="H16" s="32">
        <f>SUMIFS(Cota_Demanda[Cota-Representante],Cota_Demanda['#FK-Email-Representante],Representantes_ESP[[#This Row],['#PK-Email-Representante-ESP]],Cota_Demanda['#FK-Cod-Linha],H$1)</f>
        <v>0</v>
      </c>
      <c r="I16" s="32">
        <f>SUMIFS(Cota_Demanda[Cota-Representante],Cota_Demanda['#FK-Email-Representante],Representantes_ESP[[#This Row],['#PK-Email-Representante-ESP]],Cota_Demanda['#FK-Cod-Linha],I$1)</f>
        <v>0</v>
      </c>
      <c r="J16" s="32">
        <f>SUMIFS(Cota_Demanda[Cota-Representante],Cota_Demanda['#FK-Email-Representante],Representantes_ESP[[#This Row],['#PK-Email-Representante-ESP]],Cota_Demanda['#FK-Cod-Linha],J$1)</f>
        <v>0</v>
      </c>
      <c r="K16" s="32">
        <f>SUMIFS(Cota_Demanda[Cota-Representante],Cota_Demanda['#FK-Email-Representante],Representantes_ESP[[#This Row],['#PK-Email-Representante-ESP]],Cota_Demanda['#FK-Cod-Linha],K$1)</f>
        <v>0</v>
      </c>
      <c r="L16" s="32" t="e">
        <f>SUMIFS(#REF!,#REF!,Representantes_ESP[[#This Row],['#PK-Email-Representante-ESP]],#REF!,L$1)</f>
        <v>#REF!</v>
      </c>
      <c r="M16" s="32" t="e">
        <f>SUMIFS(#REF!,#REF!,Representantes_ESP[[#This Row],['#PK-Email-Representante-ESP]],#REF!,M$1)</f>
        <v>#REF!</v>
      </c>
      <c r="N16" s="32" t="e">
        <f>SUMIFS(#REF!,#REF!,Representantes_ESP[[#This Row],['#PK-Email-Representante-ESP]],#REF!,N$1)</f>
        <v>#REF!</v>
      </c>
      <c r="O16" s="32" t="e">
        <f>SUMIFS(#REF!,#REF!,Representantes_ESP[[#This Row],['#PK-Email-Representante-ESP]],#REF!,O$1)</f>
        <v>#REF!</v>
      </c>
      <c r="P16" s="32" t="e">
        <f>SUMIFS(#REF!,#REF!,Representantes_ESP[[#This Row],['#PK-Email-Representante-ESP]],#REF!,P$1)</f>
        <v>#REF!</v>
      </c>
      <c r="Q16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6" s="38"/>
      <c r="S16" s="38"/>
      <c r="T16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6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6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6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6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6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6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6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6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6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6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6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6" s="10"/>
    </row>
    <row r="17" spans="1:32" x14ac:dyDescent="0.25">
      <c r="A17" s="20" t="s">
        <v>199</v>
      </c>
      <c r="B17" s="9" t="s">
        <v>90</v>
      </c>
      <c r="C17" s="9" t="s">
        <v>112</v>
      </c>
      <c r="D17" s="9" t="s">
        <v>15</v>
      </c>
      <c r="E17" s="24" t="b">
        <v>1</v>
      </c>
      <c r="F17" s="24" t="b">
        <v>0</v>
      </c>
      <c r="G17" s="32">
        <f>SUMIFS(Cota_Demanda[Cota-Representante],Cota_Demanda['#FK-Email-Representante],Representantes_ESP[[#This Row],['#PK-Email-Representante-ESP]],Cota_Demanda['#FK-Cod-Linha],G$1)</f>
        <v>0</v>
      </c>
      <c r="H17" s="32">
        <f>SUMIFS(Cota_Demanda[Cota-Representante],Cota_Demanda['#FK-Email-Representante],Representantes_ESP[[#This Row],['#PK-Email-Representante-ESP]],Cota_Demanda['#FK-Cod-Linha],H$1)</f>
        <v>0</v>
      </c>
      <c r="I17" s="32">
        <f>SUMIFS(Cota_Demanda[Cota-Representante],Cota_Demanda['#FK-Email-Representante],Representantes_ESP[[#This Row],['#PK-Email-Representante-ESP]],Cota_Demanda['#FK-Cod-Linha],I$1)</f>
        <v>0</v>
      </c>
      <c r="J17" s="32">
        <f>SUMIFS(Cota_Demanda[Cota-Representante],Cota_Demanda['#FK-Email-Representante],Representantes_ESP[[#This Row],['#PK-Email-Representante-ESP]],Cota_Demanda['#FK-Cod-Linha],J$1)</f>
        <v>0</v>
      </c>
      <c r="K17" s="32">
        <f>SUMIFS(Cota_Demanda[Cota-Representante],Cota_Demanda['#FK-Email-Representante],Representantes_ESP[[#This Row],['#PK-Email-Representante-ESP]],Cota_Demanda['#FK-Cod-Linha],K$1)</f>
        <v>0</v>
      </c>
      <c r="L17" s="32" t="e">
        <f>SUMIFS(#REF!,#REF!,Representantes_ESP[[#This Row],['#PK-Email-Representante-ESP]],#REF!,L$1)</f>
        <v>#REF!</v>
      </c>
      <c r="M17" s="32" t="e">
        <f>SUMIFS(#REF!,#REF!,Representantes_ESP[[#This Row],['#PK-Email-Representante-ESP]],#REF!,M$1)</f>
        <v>#REF!</v>
      </c>
      <c r="N17" s="32" t="e">
        <f>SUMIFS(#REF!,#REF!,Representantes_ESP[[#This Row],['#PK-Email-Representante-ESP]],#REF!,N$1)</f>
        <v>#REF!</v>
      </c>
      <c r="O17" s="32" t="e">
        <f>SUMIFS(#REF!,#REF!,Representantes_ESP[[#This Row],['#PK-Email-Representante-ESP]],#REF!,O$1)</f>
        <v>#REF!</v>
      </c>
      <c r="P17" s="32" t="e">
        <f>SUMIFS(#REF!,#REF!,Representantes_ESP[[#This Row],['#PK-Email-Representante-ESP]],#REF!,P$1)</f>
        <v>#REF!</v>
      </c>
      <c r="Q17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7" s="38"/>
      <c r="S17" s="38"/>
      <c r="T17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7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7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7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7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7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7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7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7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7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7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7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7" s="10"/>
    </row>
    <row r="18" spans="1:32" x14ac:dyDescent="0.25">
      <c r="A18" s="20" t="s">
        <v>118</v>
      </c>
      <c r="B18" s="9" t="s">
        <v>89</v>
      </c>
      <c r="C18" s="9" t="s">
        <v>94</v>
      </c>
      <c r="D18" s="9" t="s">
        <v>17</v>
      </c>
      <c r="E18" s="24" t="b">
        <v>1</v>
      </c>
      <c r="F18" s="24" t="b">
        <v>0</v>
      </c>
      <c r="G18" s="32">
        <f>SUMIFS(Cota_Demanda[Cota-Representante],Cota_Demanda['#FK-Email-Representante],Representantes_ESP[[#This Row],['#PK-Email-Representante-ESP]],Cota_Demanda['#FK-Cod-Linha],G$1)</f>
        <v>0</v>
      </c>
      <c r="H18" s="32">
        <f>SUMIFS(Cota_Demanda[Cota-Representante],Cota_Demanda['#FK-Email-Representante],Representantes_ESP[[#This Row],['#PK-Email-Representante-ESP]],Cota_Demanda['#FK-Cod-Linha],H$1)</f>
        <v>0</v>
      </c>
      <c r="I18" s="32">
        <f>SUMIFS(Cota_Demanda[Cota-Representante],Cota_Demanda['#FK-Email-Representante],Representantes_ESP[[#This Row],['#PK-Email-Representante-ESP]],Cota_Demanda['#FK-Cod-Linha],I$1)</f>
        <v>0</v>
      </c>
      <c r="J18" s="32">
        <f>SUMIFS(Cota_Demanda[Cota-Representante],Cota_Demanda['#FK-Email-Representante],Representantes_ESP[[#This Row],['#PK-Email-Representante-ESP]],Cota_Demanda['#FK-Cod-Linha],J$1)</f>
        <v>0</v>
      </c>
      <c r="K18" s="32">
        <f>SUMIFS(Cota_Demanda[Cota-Representante],Cota_Demanda['#FK-Email-Representante],Representantes_ESP[[#This Row],['#PK-Email-Representante-ESP]],Cota_Demanda['#FK-Cod-Linha],K$1)</f>
        <v>0</v>
      </c>
      <c r="L18" s="32" t="e">
        <f>SUMIFS(#REF!,#REF!,Representantes_ESP[[#This Row],['#PK-Email-Representante-ESP]],#REF!,L$1)</f>
        <v>#REF!</v>
      </c>
      <c r="M18" s="32" t="e">
        <f>SUMIFS(#REF!,#REF!,Representantes_ESP[[#This Row],['#PK-Email-Representante-ESP]],#REF!,M$1)</f>
        <v>#REF!</v>
      </c>
      <c r="N18" s="32" t="e">
        <f>SUMIFS(#REF!,#REF!,Representantes_ESP[[#This Row],['#PK-Email-Representante-ESP]],#REF!,N$1)</f>
        <v>#REF!</v>
      </c>
      <c r="O18" s="32" t="e">
        <f>SUMIFS(#REF!,#REF!,Representantes_ESP[[#This Row],['#PK-Email-Representante-ESP]],#REF!,O$1)</f>
        <v>#REF!</v>
      </c>
      <c r="P18" s="32" t="e">
        <f>SUMIFS(#REF!,#REF!,Representantes_ESP[[#This Row],['#PK-Email-Representante-ESP]],#REF!,P$1)</f>
        <v>#REF!</v>
      </c>
      <c r="Q18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8" s="38"/>
      <c r="S18" s="38"/>
      <c r="T18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8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8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8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8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8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8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8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8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8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8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8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8" s="10"/>
    </row>
    <row r="19" spans="1:32" x14ac:dyDescent="0.25">
      <c r="A19" s="20" t="s">
        <v>200</v>
      </c>
      <c r="B19" s="9" t="s">
        <v>91</v>
      </c>
      <c r="C19" s="9" t="s">
        <v>201</v>
      </c>
      <c r="D19" s="9" t="s">
        <v>201</v>
      </c>
      <c r="E19" s="24" t="b">
        <v>1</v>
      </c>
      <c r="F19" s="24" t="b">
        <v>0</v>
      </c>
      <c r="G19" s="32">
        <f>SUMIFS(Cota_Demanda[Cota-Representante],Cota_Demanda['#FK-Email-Representante],Representantes_ESP[[#This Row],['#PK-Email-Representante-ESP]],Cota_Demanda['#FK-Cod-Linha],G$1)</f>
        <v>0</v>
      </c>
      <c r="H19" s="32">
        <f>SUMIFS(Cota_Demanda[Cota-Representante],Cota_Demanda['#FK-Email-Representante],Representantes_ESP[[#This Row],['#PK-Email-Representante-ESP]],Cota_Demanda['#FK-Cod-Linha],H$1)</f>
        <v>0</v>
      </c>
      <c r="I19" s="32">
        <f>SUMIFS(Cota_Demanda[Cota-Representante],Cota_Demanda['#FK-Email-Representante],Representantes_ESP[[#This Row],['#PK-Email-Representante-ESP]],Cota_Demanda['#FK-Cod-Linha],I$1)</f>
        <v>0</v>
      </c>
      <c r="J19" s="32">
        <f>SUMIFS(Cota_Demanda[Cota-Representante],Cota_Demanda['#FK-Email-Representante],Representantes_ESP[[#This Row],['#PK-Email-Representante-ESP]],Cota_Demanda['#FK-Cod-Linha],J$1)</f>
        <v>0</v>
      </c>
      <c r="K19" s="32">
        <f>SUMIFS(Cota_Demanda[Cota-Representante],Cota_Demanda['#FK-Email-Representante],Representantes_ESP[[#This Row],['#PK-Email-Representante-ESP]],Cota_Demanda['#FK-Cod-Linha],K$1)</f>
        <v>0</v>
      </c>
      <c r="L19" s="32" t="e">
        <f>SUMIFS(#REF!,#REF!,Representantes_ESP[[#This Row],['#PK-Email-Representante-ESP]],#REF!,L$1)</f>
        <v>#REF!</v>
      </c>
      <c r="M19" s="32" t="e">
        <f>SUMIFS(#REF!,#REF!,Representantes_ESP[[#This Row],['#PK-Email-Representante-ESP]],#REF!,M$1)</f>
        <v>#REF!</v>
      </c>
      <c r="N19" s="32" t="e">
        <f>SUMIFS(#REF!,#REF!,Representantes_ESP[[#This Row],['#PK-Email-Representante-ESP]],#REF!,N$1)</f>
        <v>#REF!</v>
      </c>
      <c r="O19" s="32" t="e">
        <f>SUMIFS(#REF!,#REF!,Representantes_ESP[[#This Row],['#PK-Email-Representante-ESP]],#REF!,O$1)</f>
        <v>#REF!</v>
      </c>
      <c r="P19" s="32" t="e">
        <f>SUMIFS(#REF!,#REF!,Representantes_ESP[[#This Row],['#PK-Email-Representante-ESP]],#REF!,P$1)</f>
        <v>#REF!</v>
      </c>
      <c r="Q19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9" s="38"/>
      <c r="S19" s="38"/>
      <c r="T19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9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9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9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9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9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9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9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9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9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9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9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9" s="10"/>
    </row>
    <row r="20" spans="1:32" x14ac:dyDescent="0.25">
      <c r="A20" s="20" t="s">
        <v>202</v>
      </c>
      <c r="B20" s="9" t="s">
        <v>83</v>
      </c>
      <c r="C20" s="9" t="s">
        <v>94</v>
      </c>
      <c r="D20" s="9" t="s">
        <v>17</v>
      </c>
      <c r="E20" s="24" t="b">
        <v>1</v>
      </c>
      <c r="F20" s="24" t="b">
        <v>0</v>
      </c>
      <c r="G20" s="32">
        <f>SUMIFS(Cota_Demanda[Cota-Representante],Cota_Demanda['#FK-Email-Representante],Representantes_ESP[[#This Row],['#PK-Email-Representante-ESP]],Cota_Demanda['#FK-Cod-Linha],G$1)</f>
        <v>0</v>
      </c>
      <c r="H20" s="32">
        <f>SUMIFS(Cota_Demanda[Cota-Representante],Cota_Demanda['#FK-Email-Representante],Representantes_ESP[[#This Row],['#PK-Email-Representante-ESP]],Cota_Demanda['#FK-Cod-Linha],H$1)</f>
        <v>0</v>
      </c>
      <c r="I20" s="32">
        <f>SUMIFS(Cota_Demanda[Cota-Representante],Cota_Demanda['#FK-Email-Representante],Representantes_ESP[[#This Row],['#PK-Email-Representante-ESP]],Cota_Demanda['#FK-Cod-Linha],I$1)</f>
        <v>0</v>
      </c>
      <c r="J20" s="32">
        <f>SUMIFS(Cota_Demanda[Cota-Representante],Cota_Demanda['#FK-Email-Representante],Representantes_ESP[[#This Row],['#PK-Email-Representante-ESP]],Cota_Demanda['#FK-Cod-Linha],J$1)</f>
        <v>0</v>
      </c>
      <c r="K20" s="32">
        <f>SUMIFS(Cota_Demanda[Cota-Representante],Cota_Demanda['#FK-Email-Representante],Representantes_ESP[[#This Row],['#PK-Email-Representante-ESP]],Cota_Demanda['#FK-Cod-Linha],K$1)</f>
        <v>0</v>
      </c>
      <c r="L20" s="32" t="e">
        <f>SUMIFS(#REF!,#REF!,Representantes_ESP[[#This Row],['#PK-Email-Representante-ESP]],#REF!,L$1)</f>
        <v>#REF!</v>
      </c>
      <c r="M20" s="32" t="e">
        <f>SUMIFS(#REF!,#REF!,Representantes_ESP[[#This Row],['#PK-Email-Representante-ESP]],#REF!,M$1)</f>
        <v>#REF!</v>
      </c>
      <c r="N20" s="32" t="e">
        <f>SUMIFS(#REF!,#REF!,Representantes_ESP[[#This Row],['#PK-Email-Representante-ESP]],#REF!,N$1)</f>
        <v>#REF!</v>
      </c>
      <c r="O20" s="32" t="e">
        <f>SUMIFS(#REF!,#REF!,Representantes_ESP[[#This Row],['#PK-Email-Representante-ESP]],#REF!,O$1)</f>
        <v>#REF!</v>
      </c>
      <c r="P20" s="32" t="e">
        <f>SUMIFS(#REF!,#REF!,Representantes_ESP[[#This Row],['#PK-Email-Representante-ESP]],#REF!,P$1)</f>
        <v>#REF!</v>
      </c>
      <c r="Q20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20" s="38"/>
      <c r="S20" s="38"/>
      <c r="T20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20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20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20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20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20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20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20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20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20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20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20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20" s="10"/>
    </row>
    <row r="21" spans="1:32" x14ac:dyDescent="0.25">
      <c r="A21" s="20" t="s">
        <v>121</v>
      </c>
      <c r="B21" s="9" t="s">
        <v>84</v>
      </c>
      <c r="C21" s="9" t="s">
        <v>96</v>
      </c>
      <c r="D21" s="9" t="s">
        <v>16</v>
      </c>
      <c r="E21" s="24" t="b">
        <v>1</v>
      </c>
      <c r="F21" s="24" t="b">
        <v>0</v>
      </c>
      <c r="G21" s="32">
        <f>SUMIFS(Cota_Demanda[Cota-Representante],Cota_Demanda['#FK-Email-Representante],Representantes_ESP[[#This Row],['#PK-Email-Representante-ESP]],Cota_Demanda['#FK-Cod-Linha],G$1)</f>
        <v>0</v>
      </c>
      <c r="H21" s="32">
        <f>SUMIFS(Cota_Demanda[Cota-Representante],Cota_Demanda['#FK-Email-Representante],Representantes_ESP[[#This Row],['#PK-Email-Representante-ESP]],Cota_Demanda['#FK-Cod-Linha],H$1)</f>
        <v>0</v>
      </c>
      <c r="I21" s="32">
        <f>SUMIFS(Cota_Demanda[Cota-Representante],Cota_Demanda['#FK-Email-Representante],Representantes_ESP[[#This Row],['#PK-Email-Representante-ESP]],Cota_Demanda['#FK-Cod-Linha],I$1)</f>
        <v>0</v>
      </c>
      <c r="J21" s="32">
        <f>SUMIFS(Cota_Demanda[Cota-Representante],Cota_Demanda['#FK-Email-Representante],Representantes_ESP[[#This Row],['#PK-Email-Representante-ESP]],Cota_Demanda['#FK-Cod-Linha],J$1)</f>
        <v>0</v>
      </c>
      <c r="K21" s="32">
        <f>SUMIFS(Cota_Demanda[Cota-Representante],Cota_Demanda['#FK-Email-Representante],Representantes_ESP[[#This Row],['#PK-Email-Representante-ESP]],Cota_Demanda['#FK-Cod-Linha],K$1)</f>
        <v>0</v>
      </c>
      <c r="L21" s="32" t="e">
        <f>SUMIFS(#REF!,#REF!,Representantes_ESP[[#This Row],['#PK-Email-Representante-ESP]],#REF!,L$1)</f>
        <v>#REF!</v>
      </c>
      <c r="M21" s="32" t="e">
        <f>SUMIFS(#REF!,#REF!,Representantes_ESP[[#This Row],['#PK-Email-Representante-ESP]],#REF!,M$1)</f>
        <v>#REF!</v>
      </c>
      <c r="N21" s="32" t="e">
        <f>SUMIFS(#REF!,#REF!,Representantes_ESP[[#This Row],['#PK-Email-Representante-ESP]],#REF!,N$1)</f>
        <v>#REF!</v>
      </c>
      <c r="O21" s="32" t="e">
        <f>SUMIFS(#REF!,#REF!,Representantes_ESP[[#This Row],['#PK-Email-Representante-ESP]],#REF!,O$1)</f>
        <v>#REF!</v>
      </c>
      <c r="P21" s="32" t="e">
        <f>SUMIFS(#REF!,#REF!,Representantes_ESP[[#This Row],['#PK-Email-Representante-ESP]],#REF!,P$1)</f>
        <v>#REF!</v>
      </c>
      <c r="Q21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21" s="38"/>
      <c r="S21" s="38"/>
      <c r="T21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21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21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21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21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21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21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21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21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21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21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21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21" s="10"/>
    </row>
    <row r="22" spans="1:32" x14ac:dyDescent="0.25">
      <c r="A22" s="20" t="s">
        <v>203</v>
      </c>
      <c r="B22" s="9" t="s">
        <v>86</v>
      </c>
      <c r="C22" s="9" t="s">
        <v>94</v>
      </c>
      <c r="D22" s="9" t="s">
        <v>17</v>
      </c>
      <c r="E22" s="24" t="b">
        <v>1</v>
      </c>
      <c r="F22" s="24" t="b">
        <v>0</v>
      </c>
      <c r="G22" s="32">
        <f>SUMIFS(Cota_Demanda[Cota-Representante],Cota_Demanda['#FK-Email-Representante],Representantes_ESP[[#This Row],['#PK-Email-Representante-ESP]],Cota_Demanda['#FK-Cod-Linha],G$1)</f>
        <v>0</v>
      </c>
      <c r="H22" s="32">
        <f>SUMIFS(Cota_Demanda[Cota-Representante],Cota_Demanda['#FK-Email-Representante],Representantes_ESP[[#This Row],['#PK-Email-Representante-ESP]],Cota_Demanda['#FK-Cod-Linha],H$1)</f>
        <v>0</v>
      </c>
      <c r="I22" s="32">
        <f>SUMIFS(Cota_Demanda[Cota-Representante],Cota_Demanda['#FK-Email-Representante],Representantes_ESP[[#This Row],['#PK-Email-Representante-ESP]],Cota_Demanda['#FK-Cod-Linha],I$1)</f>
        <v>0</v>
      </c>
      <c r="J22" s="32">
        <f>SUMIFS(Cota_Demanda[Cota-Representante],Cota_Demanda['#FK-Email-Representante],Representantes_ESP[[#This Row],['#PK-Email-Representante-ESP]],Cota_Demanda['#FK-Cod-Linha],J$1)</f>
        <v>0</v>
      </c>
      <c r="K22" s="32">
        <f>SUMIFS(Cota_Demanda[Cota-Representante],Cota_Demanda['#FK-Email-Representante],Representantes_ESP[[#This Row],['#PK-Email-Representante-ESP]],Cota_Demanda['#FK-Cod-Linha],K$1)</f>
        <v>0</v>
      </c>
      <c r="L22" s="32" t="e">
        <f>SUMIFS(#REF!,#REF!,Representantes_ESP[[#This Row],['#PK-Email-Representante-ESP]],#REF!,L$1)</f>
        <v>#REF!</v>
      </c>
      <c r="M22" s="32" t="e">
        <f>SUMIFS(#REF!,#REF!,Representantes_ESP[[#This Row],['#PK-Email-Representante-ESP]],#REF!,M$1)</f>
        <v>#REF!</v>
      </c>
      <c r="N22" s="32" t="e">
        <f>SUMIFS(#REF!,#REF!,Representantes_ESP[[#This Row],['#PK-Email-Representante-ESP]],#REF!,N$1)</f>
        <v>#REF!</v>
      </c>
      <c r="O22" s="32" t="e">
        <f>SUMIFS(#REF!,#REF!,Representantes_ESP[[#This Row],['#PK-Email-Representante-ESP]],#REF!,O$1)</f>
        <v>#REF!</v>
      </c>
      <c r="P22" s="32" t="e">
        <f>SUMIFS(#REF!,#REF!,Representantes_ESP[[#This Row],['#PK-Email-Representante-ESP]],#REF!,P$1)</f>
        <v>#REF!</v>
      </c>
      <c r="Q22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22" s="38"/>
      <c r="S22" s="38"/>
      <c r="T22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22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22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22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22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22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22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22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22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22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22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22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22" s="10"/>
    </row>
    <row r="23" spans="1:32" x14ac:dyDescent="0.25">
      <c r="A23" s="20" t="s">
        <v>204</v>
      </c>
      <c r="B23" s="9" t="s">
        <v>87</v>
      </c>
      <c r="C23" s="9" t="s">
        <v>112</v>
      </c>
      <c r="D23" s="9" t="s">
        <v>15</v>
      </c>
      <c r="E23" s="24" t="b">
        <v>1</v>
      </c>
      <c r="F23" s="24" t="b">
        <v>0</v>
      </c>
      <c r="G23" s="32">
        <f>SUMIFS(Cota_Demanda[Cota-Representante],Cota_Demanda['#FK-Email-Representante],Representantes_ESP[[#This Row],['#PK-Email-Representante-ESP]],Cota_Demanda['#FK-Cod-Linha],G$1)</f>
        <v>0</v>
      </c>
      <c r="H23" s="32">
        <f>SUMIFS(Cota_Demanda[Cota-Representante],Cota_Demanda['#FK-Email-Representante],Representantes_ESP[[#This Row],['#PK-Email-Representante-ESP]],Cota_Demanda['#FK-Cod-Linha],H$1)</f>
        <v>0</v>
      </c>
      <c r="I23" s="32">
        <f>SUMIFS(Cota_Demanda[Cota-Representante],Cota_Demanda['#FK-Email-Representante],Representantes_ESP[[#This Row],['#PK-Email-Representante-ESP]],Cota_Demanda['#FK-Cod-Linha],I$1)</f>
        <v>0</v>
      </c>
      <c r="J23" s="32">
        <f>SUMIFS(Cota_Demanda[Cota-Representante],Cota_Demanda['#FK-Email-Representante],Representantes_ESP[[#This Row],['#PK-Email-Representante-ESP]],Cota_Demanda['#FK-Cod-Linha],J$1)</f>
        <v>0</v>
      </c>
      <c r="K23" s="32">
        <f>SUMIFS(Cota_Demanda[Cota-Representante],Cota_Demanda['#FK-Email-Representante],Representantes_ESP[[#This Row],['#PK-Email-Representante-ESP]],Cota_Demanda['#FK-Cod-Linha],K$1)</f>
        <v>0</v>
      </c>
      <c r="L23" s="32" t="e">
        <f>SUMIFS(#REF!,#REF!,Representantes_ESP[[#This Row],['#PK-Email-Representante-ESP]],#REF!,L$1)</f>
        <v>#REF!</v>
      </c>
      <c r="M23" s="32" t="e">
        <f>SUMIFS(#REF!,#REF!,Representantes_ESP[[#This Row],['#PK-Email-Representante-ESP]],#REF!,M$1)</f>
        <v>#REF!</v>
      </c>
      <c r="N23" s="32" t="e">
        <f>SUMIFS(#REF!,#REF!,Representantes_ESP[[#This Row],['#PK-Email-Representante-ESP]],#REF!,N$1)</f>
        <v>#REF!</v>
      </c>
      <c r="O23" s="32" t="e">
        <f>SUMIFS(#REF!,#REF!,Representantes_ESP[[#This Row],['#PK-Email-Representante-ESP]],#REF!,O$1)</f>
        <v>#REF!</v>
      </c>
      <c r="P23" s="32" t="e">
        <f>SUMIFS(#REF!,#REF!,Representantes_ESP[[#This Row],['#PK-Email-Representante-ESP]],#REF!,P$1)</f>
        <v>#REF!</v>
      </c>
      <c r="Q23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23" s="38"/>
      <c r="S23" s="38"/>
      <c r="T23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23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23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23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23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23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23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23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23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23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23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23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23" s="10"/>
    </row>
    <row r="24" spans="1:32" x14ac:dyDescent="0.25">
      <c r="A24" s="20" t="s">
        <v>205</v>
      </c>
      <c r="B24" s="9" t="s">
        <v>85</v>
      </c>
      <c r="C24" s="9" t="s">
        <v>94</v>
      </c>
      <c r="D24" s="9" t="s">
        <v>17</v>
      </c>
      <c r="E24" s="24" t="b">
        <v>1</v>
      </c>
      <c r="F24" s="24" t="b">
        <v>0</v>
      </c>
      <c r="G24" s="32">
        <f>SUMIFS(Cota_Demanda[Cota-Representante],Cota_Demanda['#FK-Email-Representante],Representantes_ESP[[#This Row],['#PK-Email-Representante-ESP]],Cota_Demanda['#FK-Cod-Linha],G$1)</f>
        <v>0</v>
      </c>
      <c r="H24" s="32">
        <f>SUMIFS(Cota_Demanda[Cota-Representante],Cota_Demanda['#FK-Email-Representante],Representantes_ESP[[#This Row],['#PK-Email-Representante-ESP]],Cota_Demanda['#FK-Cod-Linha],H$1)</f>
        <v>0</v>
      </c>
      <c r="I24" s="32">
        <f>SUMIFS(Cota_Demanda[Cota-Representante],Cota_Demanda['#FK-Email-Representante],Representantes_ESP[[#This Row],['#PK-Email-Representante-ESP]],Cota_Demanda['#FK-Cod-Linha],I$1)</f>
        <v>0</v>
      </c>
      <c r="J24" s="32">
        <f>SUMIFS(Cota_Demanda[Cota-Representante],Cota_Demanda['#FK-Email-Representante],Representantes_ESP[[#This Row],['#PK-Email-Representante-ESP]],Cota_Demanda['#FK-Cod-Linha],J$1)</f>
        <v>0</v>
      </c>
      <c r="K24" s="32">
        <f>SUMIFS(Cota_Demanda[Cota-Representante],Cota_Demanda['#FK-Email-Representante],Representantes_ESP[[#This Row],['#PK-Email-Representante-ESP]],Cota_Demanda['#FK-Cod-Linha],K$1)</f>
        <v>0</v>
      </c>
      <c r="L24" s="32" t="e">
        <f>SUMIFS(#REF!,#REF!,Representantes_ESP[[#This Row],['#PK-Email-Representante-ESP]],#REF!,L$1)</f>
        <v>#REF!</v>
      </c>
      <c r="M24" s="32" t="e">
        <f>SUMIFS(#REF!,#REF!,Representantes_ESP[[#This Row],['#PK-Email-Representante-ESP]],#REF!,M$1)</f>
        <v>#REF!</v>
      </c>
      <c r="N24" s="32" t="e">
        <f>SUMIFS(#REF!,#REF!,Representantes_ESP[[#This Row],['#PK-Email-Representante-ESP]],#REF!,N$1)</f>
        <v>#REF!</v>
      </c>
      <c r="O24" s="32" t="e">
        <f>SUMIFS(#REF!,#REF!,Representantes_ESP[[#This Row],['#PK-Email-Representante-ESP]],#REF!,O$1)</f>
        <v>#REF!</v>
      </c>
      <c r="P24" s="32" t="e">
        <f>SUMIFS(#REF!,#REF!,Representantes_ESP[[#This Row],['#PK-Email-Representante-ESP]],#REF!,P$1)</f>
        <v>#REF!</v>
      </c>
      <c r="Q24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24" s="38"/>
      <c r="S24" s="38"/>
      <c r="T24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24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24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24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24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24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24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24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24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24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24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24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24" s="10"/>
    </row>
  </sheetData>
  <conditionalFormatting sqref="E6:F24">
    <cfRule type="cellIs" dxfId="399" priority="25" operator="equal">
      <formula>FALSE</formula>
    </cfRule>
    <cfRule type="cellIs" dxfId="398" priority="26" operator="equal">
      <formula>TRUE</formula>
    </cfRule>
  </conditionalFormatting>
  <conditionalFormatting sqref="AA6:AE24">
    <cfRule type="cellIs" dxfId="397" priority="21" operator="equal">
      <formula>0</formula>
    </cfRule>
    <cfRule type="cellIs" dxfId="396" priority="22" operator="equal">
      <formula>1</formula>
    </cfRule>
  </conditionalFormatting>
  <conditionalFormatting sqref="G6:K24">
    <cfRule type="cellIs" dxfId="395" priority="19" operator="lessThan">
      <formula>0</formula>
    </cfRule>
    <cfRule type="cellIs" dxfId="394" priority="20" operator="equal">
      <formula>0</formula>
    </cfRule>
  </conditionalFormatting>
  <conditionalFormatting sqref="L6:P24">
    <cfRule type="cellIs" dxfId="393" priority="18" operator="equal">
      <formula>0</formula>
    </cfRule>
  </conditionalFormatting>
  <conditionalFormatting sqref="AB6:AC24">
    <cfRule type="cellIs" dxfId="392" priority="5" operator="greaterThan">
      <formula>0</formula>
    </cfRule>
  </conditionalFormatting>
  <conditionalFormatting sqref="H6:I24">
    <cfRule type="cellIs" dxfId="391" priority="4" operator="greaterThan">
      <formula>0</formula>
    </cfRule>
  </conditionalFormatting>
  <conditionalFormatting sqref="Q6:U24">
    <cfRule type="cellIs" dxfId="390" priority="3" operator="equal">
      <formula>"-"</formula>
    </cfRule>
  </conditionalFormatting>
  <conditionalFormatting sqref="V6:AE24">
    <cfRule type="cellIs" dxfId="389" priority="1" operator="equal">
      <formula>0</formula>
    </cfRule>
    <cfRule type="cellIs" dxfId="388" priority="2" operator="equal">
      <formula>"""-"""</formula>
    </cfRule>
  </conditionalFormatting>
  <conditionalFormatting sqref="Q6:Q24 T6:U24 T3:U4 Q3:Q4">
    <cfRule type="cellIs" dxfId="387" priority="27" stopIfTrue="1" operator="equal">
      <formula>"Erro"</formula>
    </cfRule>
    <cfRule type="cellIs" dxfId="386" priority="28" operator="greaterThanOrEqual">
      <formula>1.05</formula>
    </cfRule>
    <cfRule type="cellIs" dxfId="385" priority="29" operator="greaterThanOrEqual">
      <formula>1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0" operator="greaterThanOrEqual" id="{00000000-000E-0000-0200-00000E000000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1" operator="lessThan" id="{00000000-000E-0000-0200-00000F000000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Q6:Q24 T6:U24 T3:U4 Q3:Q4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32BAF-610D-4FE6-8111-A5EA2C275FAA}">
  <sheetPr codeName="Planilha5">
    <tabColor theme="9" tint="0.39997558519241921"/>
  </sheetPr>
  <dimension ref="A1:BG28"/>
  <sheetViews>
    <sheetView showGridLines="0" zoomScaleNormal="100" workbookViewId="0">
      <pane xSplit="6" ySplit="9" topLeftCell="AY10" activePane="bottomRight" state="frozen"/>
      <selection activeCell="A35" sqref="A35"/>
      <selection pane="topRight" activeCell="A35" sqref="A35"/>
      <selection pane="bottomLeft" activeCell="A35" sqref="A35"/>
      <selection pane="bottomRight" activeCell="A9" sqref="A9"/>
    </sheetView>
  </sheetViews>
  <sheetFormatPr defaultRowHeight="15" x14ac:dyDescent="0.25"/>
  <cols>
    <col min="1" max="1" width="36.28515625" style="1" customWidth="1"/>
    <col min="2" max="2" width="49.42578125" style="1" bestFit="1" customWidth="1"/>
    <col min="3" max="3" width="17.140625" style="1" customWidth="1"/>
    <col min="4" max="4" width="11.5703125" style="1" customWidth="1"/>
    <col min="5" max="5" width="11.28515625" style="1" customWidth="1"/>
    <col min="6" max="6" width="12.28515625" style="1" customWidth="1"/>
    <col min="7" max="7" width="17.42578125" style="1" customWidth="1"/>
    <col min="8" max="8" width="23.140625" style="1" bestFit="1" customWidth="1"/>
    <col min="9" max="9" width="22.7109375" style="1" bestFit="1" customWidth="1"/>
    <col min="10" max="10" width="21.42578125" style="1" bestFit="1" customWidth="1"/>
    <col min="11" max="11" width="23.42578125" style="1" bestFit="1" customWidth="1"/>
    <col min="12" max="12" width="23.28515625" style="1" bestFit="1" customWidth="1"/>
    <col min="13" max="13" width="18.5703125" style="1" bestFit="1" customWidth="1"/>
    <col min="14" max="14" width="18.140625" style="1" bestFit="1" customWidth="1"/>
    <col min="15" max="15" width="16.85546875" style="1" bestFit="1" customWidth="1"/>
    <col min="16" max="16" width="18.85546875" style="1" bestFit="1" customWidth="1"/>
    <col min="17" max="17" width="18.7109375" style="1" bestFit="1" customWidth="1"/>
    <col min="18" max="18" width="23.5703125" style="1" bestFit="1" customWidth="1"/>
    <col min="19" max="19" width="23.140625" style="1" bestFit="1" customWidth="1"/>
    <col min="20" max="20" width="22" style="1" bestFit="1" customWidth="1"/>
    <col min="21" max="21" width="23.85546875" style="1" bestFit="1" customWidth="1"/>
    <col min="22" max="22" width="23.7109375" style="1" bestFit="1" customWidth="1"/>
    <col min="23" max="23" width="19.28515625" style="1" customWidth="1"/>
    <col min="24" max="24" width="18.85546875" style="1" customWidth="1"/>
    <col min="25" max="25" width="17.7109375" style="1" customWidth="1"/>
    <col min="26" max="26" width="19.5703125" style="1" customWidth="1"/>
    <col min="27" max="27" width="19.42578125" style="1" customWidth="1"/>
    <col min="28" max="28" width="24.7109375" style="1" customWidth="1"/>
    <col min="29" max="29" width="25.42578125" style="1" customWidth="1"/>
    <col min="30" max="30" width="24.28515625" style="1" customWidth="1"/>
    <col min="31" max="31" width="26.28515625" style="1" customWidth="1"/>
    <col min="32" max="32" width="26.140625" style="1" customWidth="1"/>
    <col min="33" max="33" width="22.42578125" style="1" customWidth="1"/>
    <col min="34" max="34" width="23.140625" style="1" customWidth="1"/>
    <col min="35" max="35" width="22" style="1" customWidth="1"/>
    <col min="36" max="36" width="23.85546875" style="1" customWidth="1"/>
    <col min="37" max="37" width="23.7109375" style="1" customWidth="1"/>
    <col min="38" max="38" width="21" style="1" bestFit="1" customWidth="1"/>
    <col min="39" max="39" width="20.5703125" style="1" bestFit="1" customWidth="1"/>
    <col min="40" max="40" width="19.42578125" style="1" bestFit="1" customWidth="1"/>
    <col min="41" max="41" width="21.28515625" style="1" bestFit="1" customWidth="1"/>
    <col min="42" max="42" width="21.140625" style="1" bestFit="1" customWidth="1"/>
    <col min="43" max="43" width="15.7109375" style="1" bestFit="1" customWidth="1"/>
    <col min="44" max="44" width="15.42578125" style="1" bestFit="1" customWidth="1"/>
    <col min="45" max="45" width="20.7109375" style="1" bestFit="1" customWidth="1"/>
    <col min="46" max="46" width="18.28515625" style="1" bestFit="1" customWidth="1"/>
    <col min="47" max="47" width="16.5703125" style="1" bestFit="1" customWidth="1"/>
    <col min="48" max="48" width="11.42578125" style="1" bestFit="1" customWidth="1"/>
    <col min="49" max="49" width="20.85546875" style="1" bestFit="1" customWidth="1"/>
    <col min="50" max="50" width="18.42578125" style="1" bestFit="1" customWidth="1"/>
    <col min="51" max="51" width="27.7109375" style="1" bestFit="1" customWidth="1"/>
    <col min="52" max="52" width="25.140625" style="1" bestFit="1" customWidth="1"/>
    <col min="53" max="53" width="28.28515625" style="1" bestFit="1" customWidth="1"/>
    <col min="54" max="54" width="25.7109375" style="1" bestFit="1" customWidth="1"/>
    <col min="55" max="55" width="21.85546875" style="1" bestFit="1" customWidth="1"/>
    <col min="56" max="56" width="19.28515625" style="1" bestFit="1" customWidth="1"/>
    <col min="57" max="57" width="25.5703125" style="1" bestFit="1" customWidth="1"/>
    <col min="58" max="58" width="23.140625" style="1" bestFit="1" customWidth="1"/>
    <col min="59" max="59" width="14.5703125" style="1" bestFit="1" customWidth="1"/>
    <col min="60" max="16384" width="9.140625" style="1"/>
  </cols>
  <sheetData>
    <row r="1" spans="1:59" ht="18.75" x14ac:dyDescent="0.25">
      <c r="A1" s="8" t="s">
        <v>219</v>
      </c>
      <c r="G1" s="49" t="s">
        <v>154</v>
      </c>
      <c r="H1" s="17">
        <v>66</v>
      </c>
      <c r="I1" s="17">
        <v>64</v>
      </c>
      <c r="J1" s="17">
        <v>62</v>
      </c>
      <c r="K1" s="17">
        <v>73</v>
      </c>
      <c r="L1" s="17">
        <v>70</v>
      </c>
      <c r="M1" s="17">
        <v>66</v>
      </c>
      <c r="N1" s="17">
        <v>64</v>
      </c>
      <c r="O1" s="17">
        <v>62</v>
      </c>
      <c r="P1" s="17">
        <v>73</v>
      </c>
      <c r="Q1" s="17">
        <v>70</v>
      </c>
      <c r="R1" s="26" t="s">
        <v>195</v>
      </c>
      <c r="S1" s="36">
        <f>MIN(Valores_Representantes_ESP['#PK-Cobertura])</f>
        <v>0.79500000000000004</v>
      </c>
      <c r="V1" s="49" t="s">
        <v>223</v>
      </c>
      <c r="W1" s="14">
        <v>3</v>
      </c>
      <c r="X1" s="14">
        <v>4</v>
      </c>
      <c r="Y1" s="14">
        <v>5</v>
      </c>
      <c r="Z1" s="14">
        <v>6</v>
      </c>
      <c r="AA1" s="14">
        <v>7</v>
      </c>
      <c r="AB1" s="17">
        <v>66</v>
      </c>
      <c r="AC1" s="17">
        <v>64</v>
      </c>
      <c r="AD1" s="17">
        <v>62</v>
      </c>
      <c r="AE1" s="17">
        <v>73</v>
      </c>
      <c r="AF1" s="17">
        <v>70</v>
      </c>
      <c r="AG1" s="14">
        <v>3</v>
      </c>
      <c r="AH1" s="14">
        <v>4</v>
      </c>
      <c r="AI1" s="14">
        <v>5</v>
      </c>
      <c r="AJ1" s="14">
        <v>6</v>
      </c>
      <c r="AK1" s="14">
        <v>7</v>
      </c>
      <c r="AS1" s="49" t="s">
        <v>223</v>
      </c>
      <c r="AT1" s="14">
        <v>8</v>
      </c>
      <c r="AX1" s="14">
        <v>9</v>
      </c>
      <c r="AZ1" s="14">
        <v>10</v>
      </c>
      <c r="BB1" s="14">
        <v>11</v>
      </c>
      <c r="BD1" s="14">
        <v>12</v>
      </c>
      <c r="BF1" s="14">
        <v>13</v>
      </c>
    </row>
    <row r="2" spans="1:59" x14ac:dyDescent="0.25">
      <c r="D2" s="25"/>
      <c r="H2" s="25" t="str">
        <f>IFERROR(VLOOKUP(H1,Produtos_Linhas[],2,0),"Erro")</f>
        <v>BERINERT</v>
      </c>
      <c r="I2" s="25" t="str">
        <f>IFERROR(VLOOKUP(I1,Produtos_Linhas[],2,0),"Erro")</f>
        <v>BERIPLEX</v>
      </c>
      <c r="J2" s="25" t="str">
        <f>IFERROR(VLOOKUP(J1,Produtos_Linhas[],2,0),"Erro")</f>
        <v>HAEMO</v>
      </c>
      <c r="K2" s="25" t="str">
        <f>IFERROR(VLOOKUP(K1,Produtos_Linhas[],2,0),"Erro")</f>
        <v>HIZENTRA</v>
      </c>
      <c r="L2" s="25" t="str">
        <f>IFERROR(VLOOKUP(L1,Produtos_Linhas[],2,0),"Erro")</f>
        <v>PRIVIGEN</v>
      </c>
      <c r="M2" s="25" t="str">
        <f>IFERROR(VLOOKUP(M1,Produtos_Linhas[],2,0),"Erro")</f>
        <v>BERINERT</v>
      </c>
      <c r="N2" s="25" t="str">
        <f>IFERROR(VLOOKUP(N1,Produtos_Linhas[],2,0),"Erro")</f>
        <v>BERIPLEX</v>
      </c>
      <c r="O2" s="25" t="str">
        <f>IFERROR(VLOOKUP(O1,Produtos_Linhas[],2,0),"Erro")</f>
        <v>HAEMO</v>
      </c>
      <c r="P2" s="25" t="str">
        <f>IFERROR(VLOOKUP(P1,Produtos_Linhas[],2,0),"Erro")</f>
        <v>HIZENTRA</v>
      </c>
      <c r="Q2" s="25" t="str">
        <f>IFERROR(VLOOKUP(Q1,Produtos_Linhas[],2,0),"Erro")</f>
        <v>PRIVIGEN</v>
      </c>
      <c r="V2" s="49" t="s">
        <v>220</v>
      </c>
      <c r="W2" s="25" t="str">
        <f ca="1">OFFSET(Valores_Representantes_HSP[#Headers],0,W1-1,1,1)</f>
        <v>00.00%-Demanda-BERINERT</v>
      </c>
      <c r="X2" s="25" t="str">
        <f ca="1">OFFSET(Valores_Representantes_HSP[#Headers],0,X1-1,1,1)</f>
        <v>07.50%-Demanda-BERIPLEX</v>
      </c>
      <c r="Y2" s="25" t="str">
        <f ca="1">OFFSET(Valores_Representantes_HSP[#Headers],0,Y1-1,1,1)</f>
        <v>07.50%-Demanda-HAEMO</v>
      </c>
      <c r="Z2" s="25" t="str">
        <f ca="1">OFFSET(Valores_Representantes_HSP[#Headers],0,Z1-1,1,1)</f>
        <v>00.00%-Demanda-HIZENTRA</v>
      </c>
      <c r="AA2" s="25" t="str">
        <f ca="1">OFFSET(Valores_Representantes_HSP[#Headers],0,AA1-1,1,1)</f>
        <v>10.00%-Demanda-PRIVIGEN</v>
      </c>
      <c r="AB2" s="25" t="str">
        <f>IFERROR(VLOOKUP(AB1,Produtos_Linhas[],2,0),"Erro")</f>
        <v>BERINERT</v>
      </c>
      <c r="AC2" s="25" t="str">
        <f>IFERROR(VLOOKUP(AC1,Produtos_Linhas[],2,0),"Erro")</f>
        <v>BERIPLEX</v>
      </c>
      <c r="AD2" s="25" t="str">
        <f>IFERROR(VLOOKUP(AD1,Produtos_Linhas[],2,0),"Erro")</f>
        <v>HAEMO</v>
      </c>
      <c r="AE2" s="25" t="str">
        <f>IFERROR(VLOOKUP(AE1,Produtos_Linhas[],2,0),"Erro")</f>
        <v>HIZENTRA</v>
      </c>
      <c r="AF2" s="25" t="str">
        <f>IFERROR(VLOOKUP(AF1,Produtos_Linhas[],2,0),"Erro")</f>
        <v>PRIVIGEN</v>
      </c>
      <c r="AG2" s="56">
        <f ca="1">OFFSET(Garantido_HSP,0,AG1-1,1,1)</f>
        <v>0</v>
      </c>
      <c r="AH2" s="56">
        <f ca="1">OFFSET(Garantido_HSP,0,AH1-1,1,1)</f>
        <v>282.06169999999997</v>
      </c>
      <c r="AI2" s="56">
        <f ca="1">OFFSET(Garantido_HSP,0,AI1-1,1,1)</f>
        <v>282.06169999999997</v>
      </c>
      <c r="AJ2" s="56">
        <f ca="1">OFFSET(Garantido_HSP,0,AJ1-1,1,1)</f>
        <v>0</v>
      </c>
      <c r="AK2" s="56">
        <f ca="1">OFFSET(Garantido_HSP,0,AK1-1,1,1)</f>
        <v>376.08229999999998</v>
      </c>
      <c r="AS2" s="49" t="s">
        <v>220</v>
      </c>
      <c r="AT2" s="25" t="str">
        <f ca="1">OFFSET(Valores_Representantes_HSP[#Headers],0,AT1-1,1,1)</f>
        <v>05.00%-Venda</v>
      </c>
      <c r="AX2" s="25" t="str">
        <f ca="1">OFFSET(Valores_Representantes_HSP[#Headers],0,AX1-1,1,1)</f>
        <v>10.00%-Visitas</v>
      </c>
      <c r="AZ2" s="25" t="str">
        <f ca="1">OFFSET(Valores_Representantes_HSP[#Headers],0,AZ1-1,1,1)</f>
        <v>10.00%-Connect-MInd</v>
      </c>
      <c r="BB2" s="25" t="str">
        <f ca="1">OFFSET(Valores_Representantes_HSP[#Headers],0,BB1-1,1,1)</f>
        <v>30.00%-Gerente-Contas</v>
      </c>
      <c r="BD2" s="25" t="str">
        <f ca="1">OFFSET(Valores_Representantes_HSP[#Headers],0,BD1-1,1,1)</f>
        <v>10.00%-Plateau</v>
      </c>
      <c r="BF2" s="25" t="str">
        <f ca="1">OFFSET(Valores_Representantes_HSP[#Headers],0,BF1-1,1,1)</f>
        <v>10.00%-Compliance</v>
      </c>
    </row>
    <row r="3" spans="1:59" x14ac:dyDescent="0.25">
      <c r="V3" s="49" t="s">
        <v>221</v>
      </c>
      <c r="W3" s="25" t="str">
        <f ca="1">OFFSET(Valores_Representantes_ESP[#Headers],0,W1-1,1,1)</f>
        <v>05.00%-Demanda-BERINERT</v>
      </c>
      <c r="X3" s="25" t="str">
        <f ca="1">OFFSET(Valores_Representantes_ESP[#Headers],0,X1-1,1,1)</f>
        <v>00.00%-Demanda-BERIPLEX</v>
      </c>
      <c r="Y3" s="25" t="str">
        <f ca="1">OFFSET(Valores_Representantes_ESP[#Headers],0,Y1-1,1,1)</f>
        <v>00.00%-Demanda-HAEMO</v>
      </c>
      <c r="Z3" s="25" t="str">
        <f ca="1">OFFSET(Valores_Representantes_ESP[#Headers],0,Z1-1,1,1)</f>
        <v>15.00%-Demanda-HIZENTRA</v>
      </c>
      <c r="AA3" s="25" t="str">
        <f ca="1">OFFSET(Valores_Representantes_ESP[#Headers],0,AA1-1,1,1)</f>
        <v>05.00%-Demanda-PRIVIGEN</v>
      </c>
      <c r="AG3" s="56">
        <f ca="1">OFFSET(Garantido_ESP,0,AG1-1,1,1)</f>
        <v>188.0412</v>
      </c>
      <c r="AH3" s="56">
        <f ca="1">OFFSET(Garantido_ESP,0,AH1-1,1,1)</f>
        <v>0</v>
      </c>
      <c r="AI3" s="56">
        <f ca="1">OFFSET(Garantido_ESP,0,AI1-1,1,1)</f>
        <v>0</v>
      </c>
      <c r="AJ3" s="56">
        <f ca="1">OFFSET(Garantido_ESP,0,AJ1-1,1,1)</f>
        <v>564.12350000000004</v>
      </c>
      <c r="AK3" s="56">
        <f ca="1">OFFSET(Garantido_ESP,0,AK1-1,1,1)</f>
        <v>188.0412</v>
      </c>
      <c r="AS3" s="49" t="s">
        <v>221</v>
      </c>
      <c r="AT3" s="25" t="str">
        <f ca="1">OFFSET(Valores_Representantes_ESP[#Headers],0,AT1-1,1,1)</f>
        <v>05.00%-Venda</v>
      </c>
      <c r="AX3" s="25" t="str">
        <f ca="1">OFFSET(Valores_Representantes_ESP[#Headers],0,AX1-1,1,1)</f>
        <v>10.00%-Visitas</v>
      </c>
      <c r="AZ3" s="25" t="str">
        <f ca="1">OFFSET(Valores_Representantes_ESP[#Headers],0,AZ1-1,1,1)</f>
        <v>10.00%-Connect-MInd</v>
      </c>
      <c r="BB3" s="25" t="str">
        <f ca="1">OFFSET(Valores_Representantes_ESP[#Headers],0,BB1-1,1,1)</f>
        <v>30.00%-Gerente-Contas</v>
      </c>
      <c r="BD3" s="25" t="str">
        <f ca="1">OFFSET(Valores_Representantes_ESP[#Headers],0,BD1-1,1,1)</f>
        <v>10.00%-Plateau</v>
      </c>
      <c r="BF3" s="25" t="str">
        <f ca="1">OFFSET(Valores_Representantes_ESP[#Headers],0,BF1-1,1,1)</f>
        <v>10.00%-Compliance</v>
      </c>
    </row>
    <row r="4" spans="1:59" x14ac:dyDescent="0.25">
      <c r="V4" s="49" t="s">
        <v>222</v>
      </c>
      <c r="W4" s="25" t="str">
        <f ca="1">OFFSET(Valores_Representantes_EMH[#Headers],0,W1-1,1,1)</f>
        <v>05.00%-Demanda-BERINERT</v>
      </c>
      <c r="X4" s="25" t="str">
        <f ca="1">OFFSET(Valores_Representantes_EMH[#Headers],0,X1-1,1,1)</f>
        <v>02.50%-Demanda-BERIPLEX</v>
      </c>
      <c r="Y4" s="25" t="str">
        <f ca="1">OFFSET(Valores_Representantes_EMH[#Headers],0,Y1-1,1,1)</f>
        <v>02.50%-Demanda-HAEMO</v>
      </c>
      <c r="Z4" s="25" t="str">
        <f ca="1">OFFSET(Valores_Representantes_EMH[#Headers],0,Z1-1,1,1)</f>
        <v>10.00%-Demanda-HIZENTRA</v>
      </c>
      <c r="AA4" s="25" t="str">
        <f ca="1">OFFSET(Valores_Representantes_EMH[#Headers],0,AA1-1,1,1)</f>
        <v>05.00%-Demanda-PRIVIGEN</v>
      </c>
      <c r="AG4" s="56">
        <f ca="1">OFFSET(Garantido_EMH,0,AG1-1,1,1)</f>
        <v>188.0412</v>
      </c>
      <c r="AH4" s="56">
        <f ca="1">OFFSET(Garantido_EMH,0,AH1-1,1,1)</f>
        <v>94.020600000000002</v>
      </c>
      <c r="AI4" s="56">
        <f ca="1">OFFSET(Garantido_EMH,0,AI1-1,1,1)</f>
        <v>94.020600000000002</v>
      </c>
      <c r="AJ4" s="56">
        <f ca="1">OFFSET(Garantido_EMH,0,AJ1-1,1,1)</f>
        <v>376.08229999999998</v>
      </c>
      <c r="AK4" s="56">
        <f ca="1">OFFSET(Garantido_EMH,0,AK1-1,1,1)</f>
        <v>188.0412</v>
      </c>
      <c r="AS4" s="49" t="s">
        <v>222</v>
      </c>
      <c r="AT4" s="25" t="str">
        <f ca="1">OFFSET(Valores_Representantes_EMH[#Headers],0,AT1-1,1,1)</f>
        <v>05.00%-Venda</v>
      </c>
      <c r="AX4" s="25" t="str">
        <f ca="1">OFFSET(Valores_Representantes_EMH[#Headers],0,AX1-1,1,1)</f>
        <v>10.00%-Visitas</v>
      </c>
      <c r="AZ4" s="25" t="str">
        <f ca="1">OFFSET(Valores_Representantes_EMH[#Headers],0,AZ1-1,1,1)</f>
        <v>10.00%-Connect-MInd</v>
      </c>
      <c r="BB4" s="25" t="str">
        <f ca="1">OFFSET(Valores_Representantes_EMH[#Headers],0,BB1-1,1,1)</f>
        <v>30.00%-Gerente-Contas</v>
      </c>
      <c r="BD4" s="25" t="str">
        <f ca="1">OFFSET(Valores_Representantes_EMH[#Headers],0,BD1-1,1,1)</f>
        <v>10.00%-Plateau</v>
      </c>
      <c r="BF4" s="25" t="str">
        <f ca="1">OFFSET(Valores_Representantes_EMH[#Headers],0,BF1-1,1,1)</f>
        <v>10.00%-Compliance</v>
      </c>
    </row>
    <row r="6" spans="1:59" x14ac:dyDescent="0.25">
      <c r="AL6" s="63">
        <f ca="1">SUM(Representantes_IV[Premio BERINERT])</f>
        <v>1747.1428000000001</v>
      </c>
      <c r="AM6" s="63">
        <f>SUM(Representantes_IV[Premio BERIPLEX])</f>
        <v>210.27699999999999</v>
      </c>
      <c r="AN6" s="63">
        <f>SUM(Representantes_IV[Premio HAEMO])</f>
        <v>0</v>
      </c>
      <c r="AO6" s="63">
        <f ca="1">SUM(Representantes_IV[Premio HIZENTRA])</f>
        <v>2299.7208000000001</v>
      </c>
      <c r="AP6" s="63">
        <f ca="1">SUM(Representantes_IV[Premio PRIVIGEN])</f>
        <v>6339.6571999999996</v>
      </c>
      <c r="AQ6" s="63"/>
      <c r="AR6" s="63"/>
      <c r="AS6" s="63"/>
      <c r="AT6" s="63">
        <f>SUM(Representantes_IV[Premio Venda])</f>
        <v>11995.188299999998</v>
      </c>
      <c r="AU6" s="63"/>
      <c r="AV6" s="63"/>
      <c r="AW6" s="63"/>
      <c r="AX6" s="63">
        <f>SUM(Representantes_IV[Premio Visitas])</f>
        <v>24538.630600000004</v>
      </c>
      <c r="AY6" s="63"/>
      <c r="AZ6" s="63">
        <f>SUM(Representantes_IV[Premio Connect Mind])</f>
        <v>7145.5636999999997</v>
      </c>
      <c r="BA6" s="63"/>
      <c r="BB6" s="63">
        <f>SUM(Representantes_IV[Premio Gerente Conta])</f>
        <v>21436.692999999996</v>
      </c>
      <c r="BC6" s="63"/>
      <c r="BD6" s="63">
        <f>SUM(Representantes_IV[Premio Plateau])</f>
        <v>7145.5636999999997</v>
      </c>
      <c r="BE6" s="63"/>
      <c r="BF6" s="63">
        <f>SUM(Representantes_IV[Premio Compliance])</f>
        <v>7145.5636999999997</v>
      </c>
      <c r="BG6" s="63">
        <f ca="1">SUM(Representantes_IV[Premio Total])</f>
        <v>90004.000800000023</v>
      </c>
    </row>
    <row r="7" spans="1:59" x14ac:dyDescent="0.25">
      <c r="H7" s="30"/>
      <c r="I7" s="30"/>
      <c r="J7" s="30"/>
      <c r="K7" s="30"/>
      <c r="L7" s="30"/>
      <c r="AL7" s="64">
        <f ca="1">SUBTOTAL(9,Representantes_IV[Premio BERINERT])</f>
        <v>1747.1428000000001</v>
      </c>
      <c r="AM7" s="64">
        <f>SUBTOTAL(9,Representantes_IV[Premio BERIPLEX])</f>
        <v>210.27699999999999</v>
      </c>
      <c r="AN7" s="64">
        <f>SUBTOTAL(9,Representantes_IV[Premio HAEMO])</f>
        <v>0</v>
      </c>
      <c r="AO7" s="64">
        <f ca="1">SUBTOTAL(9,Representantes_IV[Premio HIZENTRA])</f>
        <v>2299.7208000000001</v>
      </c>
      <c r="AP7" s="64">
        <f ca="1">SUBTOTAL(9,Representantes_IV[Premio PRIVIGEN])</f>
        <v>6339.6571999999996</v>
      </c>
      <c r="AQ7" s="64"/>
      <c r="AR7" s="64"/>
      <c r="AS7" s="64"/>
      <c r="AT7" s="64">
        <f>SUBTOTAL(9,Representantes_IV[Premio Venda])</f>
        <v>11995.188299999998</v>
      </c>
      <c r="AU7" s="64"/>
      <c r="AV7" s="64"/>
      <c r="AW7" s="64"/>
      <c r="AX7" s="64">
        <f>SUBTOTAL(9,Representantes_IV[Premio Visitas])</f>
        <v>24538.630600000004</v>
      </c>
      <c r="AY7" s="64"/>
      <c r="AZ7" s="64">
        <f>SUBTOTAL(9,Representantes_IV[Premio Connect Mind])</f>
        <v>7145.5636999999997</v>
      </c>
      <c r="BA7" s="64"/>
      <c r="BB7" s="64">
        <f>SUBTOTAL(9,Representantes_IV[Premio Gerente Conta])</f>
        <v>21436.692999999996</v>
      </c>
      <c r="BC7" s="64"/>
      <c r="BD7" s="64">
        <f>SUBTOTAL(9,Representantes_IV[Premio Plateau])</f>
        <v>7145.5636999999997</v>
      </c>
      <c r="BE7" s="64"/>
      <c r="BF7" s="64">
        <f>SUBTOTAL(9,Representantes_IV[Premio Compliance])</f>
        <v>7145.5636999999997</v>
      </c>
      <c r="BG7" s="64">
        <f ca="1">SUBTOTAL(9,Representantes_IV[Premio Total])</f>
        <v>90004.000800000023</v>
      </c>
    </row>
    <row r="8" spans="1:59" x14ac:dyDescent="0.25">
      <c r="A8" s="91">
        <v>1</v>
      </c>
      <c r="B8" s="91">
        <f>A8+1</f>
        <v>2</v>
      </c>
      <c r="C8" s="91">
        <f t="shared" ref="C8:BG8" si="0">B8+1</f>
        <v>3</v>
      </c>
      <c r="D8" s="91">
        <f t="shared" si="0"/>
        <v>4</v>
      </c>
      <c r="E8" s="91">
        <f t="shared" si="0"/>
        <v>5</v>
      </c>
      <c r="F8" s="91">
        <f t="shared" si="0"/>
        <v>6</v>
      </c>
      <c r="G8" s="91">
        <f t="shared" si="0"/>
        <v>7</v>
      </c>
      <c r="H8" s="91">
        <f t="shared" si="0"/>
        <v>8</v>
      </c>
      <c r="I8" s="91">
        <f t="shared" si="0"/>
        <v>9</v>
      </c>
      <c r="J8" s="91">
        <f t="shared" si="0"/>
        <v>10</v>
      </c>
      <c r="K8" s="91">
        <f t="shared" si="0"/>
        <v>11</v>
      </c>
      <c r="L8" s="91">
        <f t="shared" si="0"/>
        <v>12</v>
      </c>
      <c r="M8" s="91">
        <f t="shared" si="0"/>
        <v>13</v>
      </c>
      <c r="N8" s="91">
        <f t="shared" si="0"/>
        <v>14</v>
      </c>
      <c r="O8" s="91">
        <f t="shared" si="0"/>
        <v>15</v>
      </c>
      <c r="P8" s="91">
        <f t="shared" si="0"/>
        <v>16</v>
      </c>
      <c r="Q8" s="91">
        <f t="shared" si="0"/>
        <v>17</v>
      </c>
      <c r="R8" s="91">
        <f t="shared" si="0"/>
        <v>18</v>
      </c>
      <c r="S8" s="91">
        <f t="shared" si="0"/>
        <v>19</v>
      </c>
      <c r="T8" s="91">
        <f t="shared" si="0"/>
        <v>20</v>
      </c>
      <c r="U8" s="91">
        <f t="shared" si="0"/>
        <v>21</v>
      </c>
      <c r="V8" s="91">
        <f t="shared" si="0"/>
        <v>22</v>
      </c>
      <c r="W8" s="91">
        <f t="shared" si="0"/>
        <v>23</v>
      </c>
      <c r="X8" s="91">
        <f t="shared" si="0"/>
        <v>24</v>
      </c>
      <c r="Y8" s="91">
        <f t="shared" si="0"/>
        <v>25</v>
      </c>
      <c r="Z8" s="91">
        <f t="shared" si="0"/>
        <v>26</v>
      </c>
      <c r="AA8" s="91">
        <f t="shared" si="0"/>
        <v>27</v>
      </c>
      <c r="AB8" s="91">
        <f t="shared" si="0"/>
        <v>28</v>
      </c>
      <c r="AC8" s="91">
        <f t="shared" si="0"/>
        <v>29</v>
      </c>
      <c r="AD8" s="91">
        <f t="shared" si="0"/>
        <v>30</v>
      </c>
      <c r="AE8" s="91">
        <f t="shared" si="0"/>
        <v>31</v>
      </c>
      <c r="AF8" s="91">
        <f t="shared" si="0"/>
        <v>32</v>
      </c>
      <c r="AG8" s="91">
        <f t="shared" si="0"/>
        <v>33</v>
      </c>
      <c r="AH8" s="91">
        <f t="shared" si="0"/>
        <v>34</v>
      </c>
      <c r="AI8" s="91">
        <f t="shared" si="0"/>
        <v>35</v>
      </c>
      <c r="AJ8" s="91">
        <f t="shared" si="0"/>
        <v>36</v>
      </c>
      <c r="AK8" s="91">
        <f t="shared" si="0"/>
        <v>37</v>
      </c>
      <c r="AL8" s="91">
        <f t="shared" si="0"/>
        <v>38</v>
      </c>
      <c r="AM8" s="91">
        <f t="shared" si="0"/>
        <v>39</v>
      </c>
      <c r="AN8" s="91">
        <f t="shared" si="0"/>
        <v>40</v>
      </c>
      <c r="AO8" s="91">
        <f t="shared" si="0"/>
        <v>41</v>
      </c>
      <c r="AP8" s="91">
        <f t="shared" si="0"/>
        <v>42</v>
      </c>
      <c r="AQ8" s="91">
        <f t="shared" si="0"/>
        <v>43</v>
      </c>
      <c r="AR8" s="91">
        <f t="shared" si="0"/>
        <v>44</v>
      </c>
      <c r="AS8" s="91">
        <f t="shared" si="0"/>
        <v>45</v>
      </c>
      <c r="AT8" s="91">
        <f t="shared" si="0"/>
        <v>46</v>
      </c>
      <c r="AU8" s="91">
        <f t="shared" si="0"/>
        <v>47</v>
      </c>
      <c r="AV8" s="91">
        <f t="shared" si="0"/>
        <v>48</v>
      </c>
      <c r="AW8" s="91">
        <f t="shared" si="0"/>
        <v>49</v>
      </c>
      <c r="AX8" s="91">
        <f t="shared" si="0"/>
        <v>50</v>
      </c>
      <c r="AY8" s="91">
        <f t="shared" si="0"/>
        <v>51</v>
      </c>
      <c r="AZ8" s="91">
        <f t="shared" si="0"/>
        <v>52</v>
      </c>
      <c r="BA8" s="91">
        <f t="shared" si="0"/>
        <v>53</v>
      </c>
      <c r="BB8" s="91">
        <f t="shared" si="0"/>
        <v>54</v>
      </c>
      <c r="BC8" s="91">
        <f t="shared" si="0"/>
        <v>55</v>
      </c>
      <c r="BD8" s="91">
        <f t="shared" si="0"/>
        <v>56</v>
      </c>
      <c r="BE8" s="91">
        <f t="shared" si="0"/>
        <v>57</v>
      </c>
      <c r="BF8" s="91">
        <f t="shared" si="0"/>
        <v>58</v>
      </c>
      <c r="BG8" s="91">
        <f t="shared" si="0"/>
        <v>59</v>
      </c>
    </row>
    <row r="9" spans="1:59" x14ac:dyDescent="0.25">
      <c r="A9" s="1" t="s">
        <v>214</v>
      </c>
      <c r="B9" s="1" t="s">
        <v>215</v>
      </c>
      <c r="C9" s="2" t="s">
        <v>153</v>
      </c>
      <c r="D9" s="2" t="s">
        <v>157</v>
      </c>
      <c r="E9" s="2" t="s">
        <v>93</v>
      </c>
      <c r="F9" s="2" t="s">
        <v>158</v>
      </c>
      <c r="G9" s="2" t="s">
        <v>217</v>
      </c>
      <c r="H9" s="12" t="s">
        <v>178</v>
      </c>
      <c r="I9" s="12" t="s">
        <v>179</v>
      </c>
      <c r="J9" s="12" t="s">
        <v>180</v>
      </c>
      <c r="K9" s="12" t="s">
        <v>181</v>
      </c>
      <c r="L9" s="13" t="s">
        <v>182</v>
      </c>
      <c r="M9" s="12" t="s">
        <v>165</v>
      </c>
      <c r="N9" s="12" t="s">
        <v>166</v>
      </c>
      <c r="O9" s="12" t="s">
        <v>167</v>
      </c>
      <c r="P9" s="12" t="s">
        <v>168</v>
      </c>
      <c r="Q9" s="13" t="s">
        <v>169</v>
      </c>
      <c r="R9" s="19" t="s">
        <v>184</v>
      </c>
      <c r="S9" s="19" t="s">
        <v>185</v>
      </c>
      <c r="T9" s="19" t="s">
        <v>186</v>
      </c>
      <c r="U9" s="19" t="s">
        <v>187</v>
      </c>
      <c r="V9" s="19" t="s">
        <v>188</v>
      </c>
      <c r="W9" s="19" t="s">
        <v>224</v>
      </c>
      <c r="X9" s="19" t="s">
        <v>225</v>
      </c>
      <c r="Y9" s="19" t="s">
        <v>226</v>
      </c>
      <c r="Z9" s="19" t="s">
        <v>227</v>
      </c>
      <c r="AA9" s="19" t="s">
        <v>228</v>
      </c>
      <c r="AB9" s="2" t="s">
        <v>229</v>
      </c>
      <c r="AC9" s="2" t="s">
        <v>230</v>
      </c>
      <c r="AD9" s="2" t="s">
        <v>231</v>
      </c>
      <c r="AE9" s="2" t="s">
        <v>232</v>
      </c>
      <c r="AF9" s="2" t="s">
        <v>233</v>
      </c>
      <c r="AG9" s="2" t="s">
        <v>207</v>
      </c>
      <c r="AH9" s="2" t="s">
        <v>208</v>
      </c>
      <c r="AI9" s="2" t="s">
        <v>210</v>
      </c>
      <c r="AJ9" s="2" t="s">
        <v>209</v>
      </c>
      <c r="AK9" s="2" t="s">
        <v>211</v>
      </c>
      <c r="AL9" s="19" t="s">
        <v>189</v>
      </c>
      <c r="AM9" s="19" t="s">
        <v>190</v>
      </c>
      <c r="AN9" s="19" t="s">
        <v>191</v>
      </c>
      <c r="AO9" s="19" t="s">
        <v>192</v>
      </c>
      <c r="AP9" s="19" t="s">
        <v>193</v>
      </c>
      <c r="AQ9" s="2" t="s">
        <v>241</v>
      </c>
      <c r="AR9" s="2" t="s">
        <v>242</v>
      </c>
      <c r="AS9" s="2" t="s">
        <v>243</v>
      </c>
      <c r="AT9" s="2" t="s">
        <v>244</v>
      </c>
      <c r="AU9" s="2" t="s">
        <v>254</v>
      </c>
      <c r="AV9" s="2" t="s">
        <v>255</v>
      </c>
      <c r="AW9" s="2" t="s">
        <v>256</v>
      </c>
      <c r="AX9" s="2" t="s">
        <v>257</v>
      </c>
      <c r="AY9" s="2" t="s">
        <v>258</v>
      </c>
      <c r="AZ9" s="2" t="s">
        <v>262</v>
      </c>
      <c r="BA9" s="33" t="s">
        <v>259</v>
      </c>
      <c r="BB9" s="33" t="s">
        <v>263</v>
      </c>
      <c r="BC9" s="33" t="s">
        <v>260</v>
      </c>
      <c r="BD9" s="33" t="s">
        <v>264</v>
      </c>
      <c r="BE9" s="33" t="s">
        <v>261</v>
      </c>
      <c r="BF9" s="2" t="s">
        <v>265</v>
      </c>
      <c r="BG9" s="1" t="s">
        <v>266</v>
      </c>
    </row>
    <row r="10" spans="1:59" x14ac:dyDescent="0.25">
      <c r="A10" s="9" t="s">
        <v>126</v>
      </c>
      <c r="B10" s="9" t="s">
        <v>23</v>
      </c>
      <c r="C10" s="46" t="b">
        <v>1</v>
      </c>
      <c r="D10" s="46" t="b">
        <v>1</v>
      </c>
      <c r="E10" s="46" t="b">
        <v>0</v>
      </c>
      <c r="F10" s="46" t="b">
        <v>0</v>
      </c>
      <c r="G10" s="5" t="str">
        <f>IF(COUNTIF(Representantes_IV[[#This Row],[@-HSP]:[@-EMH]],TRUE)&lt;&gt;1,"Erro","OK")</f>
        <v>OK</v>
      </c>
      <c r="H10" s="29">
        <f>SUMIFS(Demanda_IV_REP[Demanda-IV],Demanda_IV_REP['#FK-Email-Representante],Representantes_IV[[#This Row],['#PK-Email-Representante]],Demanda_IV_REP['#FK-Cod-Linha],H$1)</f>
        <v>15</v>
      </c>
      <c r="I10" s="29">
        <f>SUMIFS(Demanda_IV_REP[Demanda-IV],Demanda_IV_REP['#FK-Email-Representante],Representantes_IV[[#This Row],['#PK-Email-Representante]],Demanda_IV_REP['#FK-Cod-Linha],I$1)</f>
        <v>61</v>
      </c>
      <c r="J10" s="29">
        <f>SUMIFS(Demanda_IV_REP[Demanda-IV],Demanda_IV_REP['#FK-Email-Representante],Representantes_IV[[#This Row],['#PK-Email-Representante]],Demanda_IV_REP['#FK-Cod-Linha],J$1)</f>
        <v>37</v>
      </c>
      <c r="K10" s="29">
        <f>SUMIFS(Demanda_IV_REP[Demanda-IV],Demanda_IV_REP['#FK-Email-Representante],Representantes_IV[[#This Row],['#PK-Email-Representante]],Demanda_IV_REP['#FK-Cod-Linha],K$1)</f>
        <v>513</v>
      </c>
      <c r="L10" s="29">
        <f>SUMIFS(Demanda_IV_REP[Demanda-IV],Demanda_IV_REP['#FK-Email-Representante],Representantes_IV[[#This Row],['#PK-Email-Representante]],Demanda_IV_REP['#FK-Cod-Linha],L$1)</f>
        <v>12590</v>
      </c>
      <c r="M10" s="29">
        <f>SUMIFS(Cota_Demanda[Cota-Representante],Cota_Demanda['#FK-Email-Representante],Representantes_IV[[#This Row],['#PK-Email-Representante]],Cota_Demanda['#FK-Cod-Linha],M$1)</f>
        <v>0</v>
      </c>
      <c r="N10" s="29">
        <f>SUMIFS(Cota_Demanda[Cota-Representante],Cota_Demanda['#FK-Email-Representante],Representantes_IV[[#This Row],['#PK-Email-Representante]],Cota_Demanda['#FK-Cod-Linha],N$1)</f>
        <v>129</v>
      </c>
      <c r="O10" s="29">
        <f>SUMIFS(Cota_Demanda[Cota-Representante],Cota_Demanda['#FK-Email-Representante],Representantes_IV[[#This Row],['#PK-Email-Representante]],Cota_Demanda['#FK-Cod-Linha],O$1)</f>
        <v>210</v>
      </c>
      <c r="P10" s="29">
        <f>SUMIFS(Cota_Demanda[Cota-Representante],Cota_Demanda['#FK-Email-Representante],Representantes_IV[[#This Row],['#PK-Email-Representante]],Cota_Demanda['#FK-Cod-Linha],P$1)</f>
        <v>0</v>
      </c>
      <c r="Q10" s="29">
        <f>SUMIFS(Cota_Demanda[Cota-Representante],Cota_Demanda['#FK-Email-Representante],Representantes_IV[[#This Row],['#PK-Email-Representante]],Cota_Demanda['#FK-Cod-Linha],Q$1)</f>
        <v>4761.17</v>
      </c>
      <c r="R10" s="34" t="str">
        <f>IF(Representantes_IV[[#This Row],[Cota BERINERT]]=0,"-",ROUNDUP(Representantes_IV[[#This Row],[Demanda BERINERT]]/Representantes_IV[[#This Row],[Cota BERINERT]],3))</f>
        <v>-</v>
      </c>
      <c r="S10" s="34">
        <f>IF(Representantes_IV[[#This Row],[Cota BERIPLEX]]=0,"-",ROUNDUP(Representantes_IV[[#This Row],[Demanda BERIPLEX]]/Representantes_IV[[#This Row],[Cota BERIPLEX]],3))</f>
        <v>0.47299999999999998</v>
      </c>
      <c r="T10" s="34">
        <f>IF(Representantes_IV[[#This Row],[Cota HAEMO]]=0,"-",ROUNDUP(Representantes_IV[[#This Row],[Demanda HAEMO]]/Representantes_IV[[#This Row],[Cota HAEMO]],3))</f>
        <v>0.17699999999999999</v>
      </c>
      <c r="U10" s="34" t="str">
        <f>IF(Representantes_IV[[#This Row],[Cota HIZENTRA]]=0,"-",ROUNDUP(Representantes_IV[[#This Row],[Demanda HIZENTRA]]/Representantes_IV[[#This Row],[Cota HIZENTRA]],3))</f>
        <v>-</v>
      </c>
      <c r="V10" s="34">
        <f>IF(Representantes_IV[[#This Row],[Cota PRIVIGEN]]=0,"-",ROUNDUP(Representantes_IV[[#This Row],[Demanda PRIVIGEN]]/Representantes_IV[[#This Row],[Cota PRIVIGEN]],3))</f>
        <v>2.645</v>
      </c>
      <c r="W10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0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0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0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0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1559.1016</v>
      </c>
      <c r="AB10" s="55">
        <f>SUMIFS(Cota_Demanda[%-Garantido],Cota_Demanda['#FK-Email-Representante],Representantes_IV[[#This Row],['#PK-Email-Representante]],Cota_Demanda['#FK-Cod-Linha],AB$1)</f>
        <v>0</v>
      </c>
      <c r="AC10" s="55">
        <f>SUMIFS(Cota_Demanda[%-Garantido],Cota_Demanda['#FK-Email-Representante],Representantes_IV[[#This Row],['#PK-Email-Representante]],Cota_Demanda['#FK-Cod-Linha],AC$1)</f>
        <v>0</v>
      </c>
      <c r="AD10" s="55">
        <f>SUMIFS(Cota_Demanda[%-Garantido],Cota_Demanda['#FK-Email-Representante],Representantes_IV[[#This Row],['#PK-Email-Representante]],Cota_Demanda['#FK-Cod-Linha],AD$1)</f>
        <v>0</v>
      </c>
      <c r="AE10" s="55">
        <f>SUMIFS(Cota_Demanda[%-Garantido],Cota_Demanda['#FK-Email-Representante],Representantes_IV[[#This Row],['#PK-Email-Representante]],Cota_Demanda['#FK-Cod-Linha],AE$1)</f>
        <v>0</v>
      </c>
      <c r="AF10" s="55">
        <f>SUMIFS(Cota_Demanda[%-Garantido],Cota_Demanda['#FK-Email-Representante],Representantes_IV[[#This Row],['#PK-Email-Representante]],Cota_Demanda['#FK-Cod-Linha],AF$1)</f>
        <v>0</v>
      </c>
      <c r="AG10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0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0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0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0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0" s="54">
        <f>IF(Representantes_IV[[#This Row],[Garatido BERINERT]]&gt;Representantes_IV[[#This Row],[Valor BERINERT]],Representantes_IV[[#This Row],[Garatido BERINERT]],Representantes_IV[[#This Row],[Valor BERINERT]])</f>
        <v>0</v>
      </c>
      <c r="AM10" s="54">
        <f>IF(Representantes_IV[[#This Row],[Garantido BERIPLEX]]&gt;Representantes_IV[[#This Row],[Valor BERIPLEX]],Representantes_IV[[#This Row],[Garantido BERIPLEX]],Representantes_IV[[#This Row],[Valor BERIPLEX]])</f>
        <v>0</v>
      </c>
      <c r="AN10" s="54">
        <f>IF(Representantes_IV[[#This Row],[Garantido HAEMO]]&gt;Representantes_IV[[#This Row],[Valor HAEMO]],Representantes_IV[[#This Row],[Garantido HAEMO]],Representantes_IV[[#This Row],[Valor HAEMO]])</f>
        <v>0</v>
      </c>
      <c r="AO10" s="54">
        <f>IF(Representantes_IV[[#This Row],[Garantido HIZENTRA]]&gt;Representantes_IV[[#This Row],[Valor HIZENTRA]],Representantes_IV[[#This Row],[Garantido HIZENTRA]],Representantes_IV[[#This Row],[Valor HIZENTRA]])</f>
        <v>0</v>
      </c>
      <c r="AP10" s="54">
        <f>IF(Representantes_IV[[#This Row],[Garantido PRIVIGEN]]&gt;Representantes_IV[[#This Row],[Valor PRIVIGEN]],Representantes_IV[[#This Row],[Garantido PRIVIGEN]],Representantes_IV[[#This Row],[Valor PRIVIGEN]])</f>
        <v>1559.1016</v>
      </c>
      <c r="AQ10" s="54">
        <f>SUM(Cota_Venda[Cota-Venda])</f>
        <v>24875647.060000017</v>
      </c>
      <c r="AR10" s="54">
        <f>SUMIFS(Venda[Venda-IV],Venda[@-Ministerio],FALSE)</f>
        <v>30797896.699999992</v>
      </c>
      <c r="AS10" s="34">
        <f>ROUNDUP(IFERROR(Representantes_IV[[#This Row],[Venda]]/Representantes_IV[[#This Row],[Cota Venda]],0),3)</f>
        <v>1.2389999999999999</v>
      </c>
      <c r="AT10" s="54">
        <f>VLOOKUP(Representantes_IV[[#This Row],[Cobertura Venda]],Valores_Representantes_ESP[],AT$1,1)</f>
        <v>631.32569999999998</v>
      </c>
      <c r="AU10" s="29">
        <f>SUMIFS(Visitas_Outros[Visitas-Meta],Visitas_Outros['#FK-Email-Representante],Representantes_IV[[#This Row],['#PK-Email-Representante]])</f>
        <v>92</v>
      </c>
      <c r="AV10" s="29">
        <f>SUMIFS(Visitas_Outros[Visitas-Realizadas],Visitas_Outros['#FK-Email-Representante],Representantes_IV[[#This Row],['#PK-Email-Representante]])</f>
        <v>139</v>
      </c>
      <c r="AW10" s="34">
        <f>ROUNDUP(IFERROR(Representantes_IV[[#This Row],[Visitas]]/Representantes_IV[[#This Row],[Meta Visitas]],0),3)</f>
        <v>1.5109999999999999</v>
      </c>
      <c r="AX10" s="54">
        <f>IF(Representantes_IV[[#This Row],[Cobertura Visitas]]&lt;Cobertura_Minima_REP,0,VLOOKUP(Representantes_IV[[#This Row],[Cobertura Visitas]],Valores_Representantes_ESP[],AX$1,1))</f>
        <v>1559.1016</v>
      </c>
      <c r="AY10" s="33">
        <f>SUMIFS(Visitas_Outros[%Realizado-Connect-Mind],Visitas_Outros['#FK-Email-Representante],Representantes_IV[[#This Row],['#PK-Email-Representante]])</f>
        <v>1</v>
      </c>
      <c r="AZ10" s="54">
        <f>IF(Representantes_IV[[#This Row],[Cobertura Connect Mind]]&lt;Cobertura_Minima_REP,0,VLOOKUP(Representantes_IV[[#This Row],[Cobertura Connect Mind]],Valores_Representantes_ESP[],AZ$1,1))</f>
        <v>376.08229999999998</v>
      </c>
      <c r="BA10" s="33">
        <f>SUMIFS(Visitas_Outros[%Realizado-Aval-GR],Visitas_Outros['#FK-Email-Representante],Representantes_IV[[#This Row],['#PK-Email-Representante]])</f>
        <v>1</v>
      </c>
      <c r="BB10" s="54">
        <f>IF(Representantes_IV[[#This Row],[Cobertura Gerente Conta]]&lt;Cobertura_Minima_REP,0,VLOOKUP(Representantes_IV[[#This Row],[Cobertura Gerente Conta]],Valores_Representantes_ESP[],BB$1,1))</f>
        <v>1128.2470000000001</v>
      </c>
      <c r="BC10" s="33">
        <f>SUMIFS(Visitas_Outros[%Realizado-Plateau],Visitas_Outros['#FK-Email-Representante],Representantes_IV[[#This Row],['#PK-Email-Representante]])</f>
        <v>1</v>
      </c>
      <c r="BD10" s="54">
        <f>IF(Representantes_IV[[#This Row],[Cobertura Plateau]]&lt;Cobertura_Minima_REP,0,VLOOKUP(Representantes_IV[[#This Row],[Cobertura Plateau]],Valores_Representantes_ESP[],BD$1,1))</f>
        <v>376.08229999999998</v>
      </c>
      <c r="BE10" s="33">
        <f>SUMIFS(Visitas_Outros[%Realizado-Compliance],Visitas_Outros['#FK-Email-Representante],Representantes_IV[[#This Row],['#PK-Email-Representante]])</f>
        <v>1</v>
      </c>
      <c r="BF10" s="54">
        <f>IF(Representantes_IV[[#This Row],[Cobertura Compliance]]&lt;Cobertura_Minima_REP,0,VLOOKUP(Representantes_IV[[#This Row],[Cobertura Compliance]],Valores_Representantes_ESP[],BF$1,1))</f>
        <v>376.08229999999998</v>
      </c>
      <c r="BG10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6006.0227999999997</v>
      </c>
    </row>
    <row r="11" spans="1:59" x14ac:dyDescent="0.25">
      <c r="A11" s="9" t="s">
        <v>120</v>
      </c>
      <c r="B11" s="9" t="s">
        <v>24</v>
      </c>
      <c r="C11" s="46" t="b">
        <v>1</v>
      </c>
      <c r="D11" s="46" t="b">
        <v>1</v>
      </c>
      <c r="E11" s="46" t="b">
        <v>0</v>
      </c>
      <c r="F11" s="46" t="b">
        <v>0</v>
      </c>
      <c r="G11" s="5" t="str">
        <f>IF(COUNTIF(Representantes_IV[[#This Row],[@-HSP]:[@-EMH]],TRUE)&lt;&gt;1,"Erro","OK")</f>
        <v>OK</v>
      </c>
      <c r="H11" s="29">
        <f>SUMIFS(Demanda_IV_REP[Demanda-IV],Demanda_IV_REP['#FK-Email-Representante],Representantes_IV[[#This Row],['#PK-Email-Representante]],Demanda_IV_REP['#FK-Cod-Linha],H$1)</f>
        <v>0</v>
      </c>
      <c r="I11" s="29">
        <f>SUMIFS(Demanda_IV_REP[Demanda-IV],Demanda_IV_REP['#FK-Email-Representante],Representantes_IV[[#This Row],['#PK-Email-Representante]],Demanda_IV_REP['#FK-Cod-Linha],I$1)</f>
        <v>47</v>
      </c>
      <c r="J11" s="29">
        <f>SUMIFS(Demanda_IV_REP[Demanda-IV],Demanda_IV_REP['#FK-Email-Representante],Representantes_IV[[#This Row],['#PK-Email-Representante]],Demanda_IV_REP['#FK-Cod-Linha],J$1)</f>
        <v>91</v>
      </c>
      <c r="K11" s="29">
        <f>SUMIFS(Demanda_IV_REP[Demanda-IV],Demanda_IV_REP['#FK-Email-Representante],Representantes_IV[[#This Row],['#PK-Email-Representante]],Demanda_IV_REP['#FK-Cod-Linha],K$1)</f>
        <v>528</v>
      </c>
      <c r="L11" s="29">
        <f>SUMIFS(Demanda_IV_REP[Demanda-IV],Demanda_IV_REP['#FK-Email-Representante],Representantes_IV[[#This Row],['#PK-Email-Representante]],Demanda_IV_REP['#FK-Cod-Linha],L$1)</f>
        <v>2580</v>
      </c>
      <c r="M11" s="29">
        <f>SUMIFS(Cota_Demanda[Cota-Representante],Cota_Demanda['#FK-Email-Representante],Representantes_IV[[#This Row],['#PK-Email-Representante]],Cota_Demanda['#FK-Cod-Linha],M$1)</f>
        <v>0</v>
      </c>
      <c r="N11" s="29">
        <f>SUMIFS(Cota_Demanda[Cota-Representante],Cota_Demanda['#FK-Email-Representante],Representantes_IV[[#This Row],['#PK-Email-Representante]],Cota_Demanda['#FK-Cod-Linha],N$1)</f>
        <v>172</v>
      </c>
      <c r="O11" s="29">
        <f>SUMIFS(Cota_Demanda[Cota-Representante],Cota_Demanda['#FK-Email-Representante],Representantes_IV[[#This Row],['#PK-Email-Representante]],Cota_Demanda['#FK-Cod-Linha],O$1)</f>
        <v>273</v>
      </c>
      <c r="P11" s="29">
        <f>SUMIFS(Cota_Demanda[Cota-Representante],Cota_Demanda['#FK-Email-Representante],Representantes_IV[[#This Row],['#PK-Email-Representante]],Cota_Demanda['#FK-Cod-Linha],P$1)</f>
        <v>0</v>
      </c>
      <c r="Q11" s="29">
        <f>SUMIFS(Cota_Demanda[Cota-Representante],Cota_Demanda['#FK-Email-Representante],Representantes_IV[[#This Row],['#PK-Email-Representante]],Cota_Demanda['#FK-Cod-Linha],Q$1)</f>
        <v>5441.33</v>
      </c>
      <c r="R11" s="34" t="str">
        <f>IF(Representantes_IV[[#This Row],[Cota BERINERT]]=0,"-",ROUNDUP(Representantes_IV[[#This Row],[Demanda BERINERT]]/Representantes_IV[[#This Row],[Cota BERINERT]],3))</f>
        <v>-</v>
      </c>
      <c r="S11" s="34">
        <f>IF(Representantes_IV[[#This Row],[Cota BERIPLEX]]=0,"-",ROUNDUP(Representantes_IV[[#This Row],[Demanda BERIPLEX]]/Representantes_IV[[#This Row],[Cota BERIPLEX]],3))</f>
        <v>0.27400000000000002</v>
      </c>
      <c r="T11" s="34">
        <f>IF(Representantes_IV[[#This Row],[Cota HAEMO]]=0,"-",ROUNDUP(Representantes_IV[[#This Row],[Demanda HAEMO]]/Representantes_IV[[#This Row],[Cota HAEMO]],3))</f>
        <v>0.33400000000000002</v>
      </c>
      <c r="U11" s="34" t="str">
        <f>IF(Representantes_IV[[#This Row],[Cota HIZENTRA]]=0,"-",ROUNDUP(Representantes_IV[[#This Row],[Demanda HIZENTRA]]/Representantes_IV[[#This Row],[Cota HIZENTRA]],3))</f>
        <v>-</v>
      </c>
      <c r="V11" s="34">
        <f>IF(Representantes_IV[[#This Row],[Cota PRIVIGEN]]=0,"-",ROUNDUP(Representantes_IV[[#This Row],[Demanda PRIVIGEN]]/Representantes_IV[[#This Row],[Cota PRIVIGEN]],3))</f>
        <v>0.47499999999999998</v>
      </c>
      <c r="W11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1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1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1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1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11" s="55">
        <f>SUMIFS(Cota_Demanda[%-Garantido],Cota_Demanda['#FK-Email-Representante],Representantes_IV[[#This Row],['#PK-Email-Representante]],Cota_Demanda['#FK-Cod-Linha],AB$1)</f>
        <v>0</v>
      </c>
      <c r="AC11" s="55">
        <f>SUMIFS(Cota_Demanda[%-Garantido],Cota_Demanda['#FK-Email-Representante],Representantes_IV[[#This Row],['#PK-Email-Representante]],Cota_Demanda['#FK-Cod-Linha],AC$1)</f>
        <v>0</v>
      </c>
      <c r="AD11" s="55">
        <f>SUMIFS(Cota_Demanda[%-Garantido],Cota_Demanda['#FK-Email-Representante],Representantes_IV[[#This Row],['#PK-Email-Representante]],Cota_Demanda['#FK-Cod-Linha],AD$1)</f>
        <v>0</v>
      </c>
      <c r="AE11" s="55">
        <f>SUMIFS(Cota_Demanda[%-Garantido],Cota_Demanda['#FK-Email-Representante],Representantes_IV[[#This Row],['#PK-Email-Representante]],Cota_Demanda['#FK-Cod-Linha],AE$1)</f>
        <v>0</v>
      </c>
      <c r="AF11" s="55">
        <f>SUMIFS(Cota_Demanda[%-Garantido],Cota_Demanda['#FK-Email-Representante],Representantes_IV[[#This Row],['#PK-Email-Representante]],Cota_Demanda['#FK-Cod-Linha],AF$1)</f>
        <v>0</v>
      </c>
      <c r="AG11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1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1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1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1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1" s="54">
        <f>IF(Representantes_IV[[#This Row],[Garatido BERINERT]]&gt;Representantes_IV[[#This Row],[Valor BERINERT]],Representantes_IV[[#This Row],[Garatido BERINERT]],Representantes_IV[[#This Row],[Valor BERINERT]])</f>
        <v>0</v>
      </c>
      <c r="AM11" s="54">
        <f>IF(Representantes_IV[[#This Row],[Garantido BERIPLEX]]&gt;Representantes_IV[[#This Row],[Valor BERIPLEX]],Representantes_IV[[#This Row],[Garantido BERIPLEX]],Representantes_IV[[#This Row],[Valor BERIPLEX]])</f>
        <v>0</v>
      </c>
      <c r="AN11" s="54">
        <f>IF(Representantes_IV[[#This Row],[Garantido HAEMO]]&gt;Representantes_IV[[#This Row],[Valor HAEMO]],Representantes_IV[[#This Row],[Garantido HAEMO]],Representantes_IV[[#This Row],[Valor HAEMO]])</f>
        <v>0</v>
      </c>
      <c r="AO11" s="54">
        <f>IF(Representantes_IV[[#This Row],[Garantido HIZENTRA]]&gt;Representantes_IV[[#This Row],[Valor HIZENTRA]],Representantes_IV[[#This Row],[Garantido HIZENTRA]],Representantes_IV[[#This Row],[Valor HIZENTRA]])</f>
        <v>0</v>
      </c>
      <c r="AP11" s="54">
        <f>IF(Representantes_IV[[#This Row],[Garantido PRIVIGEN]]&gt;Representantes_IV[[#This Row],[Valor PRIVIGEN]],Representantes_IV[[#This Row],[Garantido PRIVIGEN]],Representantes_IV[[#This Row],[Valor PRIVIGEN]])</f>
        <v>0</v>
      </c>
      <c r="AQ11" s="54">
        <f>SUM(Cota_Venda[Cota-Venda])</f>
        <v>24875647.060000017</v>
      </c>
      <c r="AR11" s="54">
        <f>SUMIFS(Venda[Venda-IV],Venda[@-Ministerio],FALSE)</f>
        <v>30797896.699999992</v>
      </c>
      <c r="AS11" s="34">
        <f>ROUNDUP(IFERROR(Representantes_IV[[#This Row],[Venda]]/Representantes_IV[[#This Row],[Cota Venda]],0),3)</f>
        <v>1.2389999999999999</v>
      </c>
      <c r="AT11" s="54">
        <f>VLOOKUP(Representantes_IV[[#This Row],[Cobertura Venda]],Valores_Representantes_ESP[],AT$1,1)</f>
        <v>631.32569999999998</v>
      </c>
      <c r="AU11" s="29">
        <f>SUMIFS(Visitas_Outros[Visitas-Meta],Visitas_Outros['#FK-Email-Representante],Representantes_IV[[#This Row],['#PK-Email-Representante]])</f>
        <v>84</v>
      </c>
      <c r="AV11" s="29">
        <f>SUMIFS(Visitas_Outros[Visitas-Realizadas],Visitas_Outros['#FK-Email-Representante],Representantes_IV[[#This Row],['#PK-Email-Representante]])</f>
        <v>133</v>
      </c>
      <c r="AW11" s="34">
        <f>ROUNDUP(IFERROR(Representantes_IV[[#This Row],[Visitas]]/Representantes_IV[[#This Row],[Meta Visitas]],0),3)</f>
        <v>1.5839999999999999</v>
      </c>
      <c r="AX11" s="53">
        <f>IF(Representantes_IV[[#This Row],[Cobertura Visitas]]&lt;Cobertura_Minima_REP,0,VLOOKUP(Representantes_IV[[#This Row],[Cobertura Visitas]],Valores_Representantes_ESP[],AX$1,1))</f>
        <v>1559.1016</v>
      </c>
      <c r="AY11" s="33">
        <f>SUMIFS(Visitas_Outros[%Realizado-Connect-Mind],Visitas_Outros['#FK-Email-Representante],Representantes_IV[[#This Row],['#PK-Email-Representante]])</f>
        <v>1</v>
      </c>
      <c r="AZ11" s="53">
        <f>IF(Representantes_IV[[#This Row],[Cobertura Connect Mind]]&lt;Cobertura_Minima_REP,0,VLOOKUP(Representantes_IV[[#This Row],[Cobertura Connect Mind]],Valores_Representantes_ESP[],AZ$1,1))</f>
        <v>376.08229999999998</v>
      </c>
      <c r="BA11" s="33">
        <f>SUMIFS(Visitas_Outros[%Realizado-Aval-GR],Visitas_Outros['#FK-Email-Representante],Representantes_IV[[#This Row],['#PK-Email-Representante]])</f>
        <v>1</v>
      </c>
      <c r="BB11" s="53">
        <f>IF(Representantes_IV[[#This Row],[Cobertura Gerente Conta]]&lt;Cobertura_Minima_REP,0,VLOOKUP(Representantes_IV[[#This Row],[Cobertura Gerente Conta]],Valores_Representantes_ESP[],BB$1,1))</f>
        <v>1128.2470000000001</v>
      </c>
      <c r="BC11" s="33">
        <f>SUMIFS(Visitas_Outros[%Realizado-Plateau],Visitas_Outros['#FK-Email-Representante],Representantes_IV[[#This Row],['#PK-Email-Representante]])</f>
        <v>1</v>
      </c>
      <c r="BD11" s="53">
        <f>IF(Representantes_IV[[#This Row],[Cobertura Plateau]]&lt;Cobertura_Minima_REP,0,VLOOKUP(Representantes_IV[[#This Row],[Cobertura Plateau]],Valores_Representantes_ESP[],BD$1,1))</f>
        <v>376.08229999999998</v>
      </c>
      <c r="BE11" s="33">
        <f>SUMIFS(Visitas_Outros[%Realizado-Compliance],Visitas_Outros['#FK-Email-Representante],Representantes_IV[[#This Row],['#PK-Email-Representante]])</f>
        <v>1</v>
      </c>
      <c r="BF11" s="53">
        <f>IF(Representantes_IV[[#This Row],[Cobertura Compliance]]&lt;Cobertura_Minima_REP,0,VLOOKUP(Representantes_IV[[#This Row],[Cobertura Compliance]],Valores_Representantes_ESP[],BF$1,1))</f>
        <v>376.08229999999998</v>
      </c>
      <c r="BG11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4446.9211999999998</v>
      </c>
    </row>
    <row r="12" spans="1:59" x14ac:dyDescent="0.25">
      <c r="A12" s="9" t="s">
        <v>115</v>
      </c>
      <c r="B12" s="9" t="s">
        <v>25</v>
      </c>
      <c r="C12" s="46" t="b">
        <v>1</v>
      </c>
      <c r="D12" s="46" t="b">
        <v>1</v>
      </c>
      <c r="E12" s="46" t="b">
        <v>0</v>
      </c>
      <c r="F12" s="46" t="b">
        <v>0</v>
      </c>
      <c r="G12" s="5" t="str">
        <f>IF(COUNTIF(Representantes_IV[[#This Row],[@-HSP]:[@-EMH]],TRUE)&lt;&gt;1,"Erro","OK")</f>
        <v>OK</v>
      </c>
      <c r="H12" s="29">
        <f>SUMIFS(Demanda_IV_REP[Demanda-IV],Demanda_IV_REP['#FK-Email-Representante],Representantes_IV[[#This Row],['#PK-Email-Representante]],Demanda_IV_REP['#FK-Cod-Linha],H$1)</f>
        <v>3</v>
      </c>
      <c r="I12" s="29">
        <f>SUMIFS(Demanda_IV_REP[Demanda-IV],Demanda_IV_REP['#FK-Email-Representante],Representantes_IV[[#This Row],['#PK-Email-Representante]],Demanda_IV_REP['#FK-Cod-Linha],I$1)</f>
        <v>48</v>
      </c>
      <c r="J12" s="29">
        <f>SUMIFS(Demanda_IV_REP[Demanda-IV],Demanda_IV_REP['#FK-Email-Representante],Representantes_IV[[#This Row],['#PK-Email-Representante]],Demanda_IV_REP['#FK-Cod-Linha],J$1)</f>
        <v>19</v>
      </c>
      <c r="K12" s="29">
        <f>SUMIFS(Demanda_IV_REP[Demanda-IV],Demanda_IV_REP['#FK-Email-Representante],Representantes_IV[[#This Row],['#PK-Email-Representante]],Demanda_IV_REP['#FK-Cod-Linha],K$1)</f>
        <v>1171</v>
      </c>
      <c r="L12" s="29">
        <f>SUMIFS(Demanda_IV_REP[Demanda-IV],Demanda_IV_REP['#FK-Email-Representante],Representantes_IV[[#This Row],['#PK-Email-Representante]],Demanda_IV_REP['#FK-Cod-Linha],L$1)</f>
        <v>2780</v>
      </c>
      <c r="M12" s="29">
        <f>SUMIFS(Cota_Demanda[Cota-Representante],Cota_Demanda['#FK-Email-Representante],Representantes_IV[[#This Row],['#PK-Email-Representante]],Cota_Demanda['#FK-Cod-Linha],M$1)</f>
        <v>0</v>
      </c>
      <c r="N12" s="29">
        <f>SUMIFS(Cota_Demanda[Cota-Representante],Cota_Demanda['#FK-Email-Representante],Representantes_IV[[#This Row],['#PK-Email-Representante]],Cota_Demanda['#FK-Cod-Linha],N$1)</f>
        <v>107.5</v>
      </c>
      <c r="O12" s="29">
        <f>SUMIFS(Cota_Demanda[Cota-Representante],Cota_Demanda['#FK-Email-Representante],Representantes_IV[[#This Row],['#PK-Email-Representante]],Cota_Demanda['#FK-Cod-Linha],O$1)</f>
        <v>84</v>
      </c>
      <c r="P12" s="29">
        <f>SUMIFS(Cota_Demanda[Cota-Representante],Cota_Demanda['#FK-Email-Representante],Representantes_IV[[#This Row],['#PK-Email-Representante]],Cota_Demanda['#FK-Cod-Linha],P$1)</f>
        <v>0</v>
      </c>
      <c r="Q12" s="29">
        <f>SUMIFS(Cota_Demanda[Cota-Representante],Cota_Demanda['#FK-Email-Representante],Representantes_IV[[#This Row],['#PK-Email-Representante]],Cota_Demanda['#FK-Cod-Linha],Q$1)</f>
        <v>8842.17</v>
      </c>
      <c r="R12" s="34" t="str">
        <f>IF(Representantes_IV[[#This Row],[Cota BERINERT]]=0,"-",ROUNDUP(Representantes_IV[[#This Row],[Demanda BERINERT]]/Representantes_IV[[#This Row],[Cota BERINERT]],3))</f>
        <v>-</v>
      </c>
      <c r="S12" s="34">
        <f>IF(Representantes_IV[[#This Row],[Cota BERIPLEX]]=0,"-",ROUNDUP(Representantes_IV[[#This Row],[Demanda BERIPLEX]]/Representantes_IV[[#This Row],[Cota BERIPLEX]],3))</f>
        <v>0.44700000000000001</v>
      </c>
      <c r="T12" s="34">
        <f>IF(Representantes_IV[[#This Row],[Cota HAEMO]]=0,"-",ROUNDUP(Representantes_IV[[#This Row],[Demanda HAEMO]]/Representantes_IV[[#This Row],[Cota HAEMO]],3))</f>
        <v>0.22700000000000001</v>
      </c>
      <c r="U12" s="34" t="str">
        <f>IF(Representantes_IV[[#This Row],[Cota HIZENTRA]]=0,"-",ROUNDUP(Representantes_IV[[#This Row],[Demanda HIZENTRA]]/Representantes_IV[[#This Row],[Cota HIZENTRA]],3))</f>
        <v>-</v>
      </c>
      <c r="V12" s="34">
        <f>IF(Representantes_IV[[#This Row],[Cota PRIVIGEN]]=0,"-",ROUNDUP(Representantes_IV[[#This Row],[Demanda PRIVIGEN]]/Representantes_IV[[#This Row],[Cota PRIVIGEN]],3))</f>
        <v>0.315</v>
      </c>
      <c r="W12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2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2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2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2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12" s="55">
        <f>SUMIFS(Cota_Demanda[%-Garantido],Cota_Demanda['#FK-Email-Representante],Representantes_IV[[#This Row],['#PK-Email-Representante]],Cota_Demanda['#FK-Cod-Linha],AB$1)</f>
        <v>0</v>
      </c>
      <c r="AC12" s="55">
        <f>SUMIFS(Cota_Demanda[%-Garantido],Cota_Demanda['#FK-Email-Representante],Representantes_IV[[#This Row],['#PK-Email-Representante]],Cota_Demanda['#FK-Cod-Linha],AC$1)</f>
        <v>0</v>
      </c>
      <c r="AD12" s="55">
        <f>SUMIFS(Cota_Demanda[%-Garantido],Cota_Demanda['#FK-Email-Representante],Representantes_IV[[#This Row],['#PK-Email-Representante]],Cota_Demanda['#FK-Cod-Linha],AD$1)</f>
        <v>0</v>
      </c>
      <c r="AE12" s="55">
        <f>SUMIFS(Cota_Demanda[%-Garantido],Cota_Demanda['#FK-Email-Representante],Representantes_IV[[#This Row],['#PK-Email-Representante]],Cota_Demanda['#FK-Cod-Linha],AE$1)</f>
        <v>0</v>
      </c>
      <c r="AF12" s="55">
        <f>SUMIFS(Cota_Demanda[%-Garantido],Cota_Demanda['#FK-Email-Representante],Representantes_IV[[#This Row],['#PK-Email-Representante]],Cota_Demanda['#FK-Cod-Linha],AF$1)</f>
        <v>0</v>
      </c>
      <c r="AG12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2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2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2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2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2" s="54">
        <f>IF(Representantes_IV[[#This Row],[Garatido BERINERT]]&gt;Representantes_IV[[#This Row],[Valor BERINERT]],Representantes_IV[[#This Row],[Garatido BERINERT]],Representantes_IV[[#This Row],[Valor BERINERT]])</f>
        <v>0</v>
      </c>
      <c r="AM12" s="54">
        <f>IF(Representantes_IV[[#This Row],[Garantido BERIPLEX]]&gt;Representantes_IV[[#This Row],[Valor BERIPLEX]],Representantes_IV[[#This Row],[Garantido BERIPLEX]],Representantes_IV[[#This Row],[Valor BERIPLEX]])</f>
        <v>0</v>
      </c>
      <c r="AN12" s="54">
        <f>IF(Representantes_IV[[#This Row],[Garantido HAEMO]]&gt;Representantes_IV[[#This Row],[Valor HAEMO]],Representantes_IV[[#This Row],[Garantido HAEMO]],Representantes_IV[[#This Row],[Valor HAEMO]])</f>
        <v>0</v>
      </c>
      <c r="AO12" s="54">
        <f>IF(Representantes_IV[[#This Row],[Garantido HIZENTRA]]&gt;Representantes_IV[[#This Row],[Valor HIZENTRA]],Representantes_IV[[#This Row],[Garantido HIZENTRA]],Representantes_IV[[#This Row],[Valor HIZENTRA]])</f>
        <v>0</v>
      </c>
      <c r="AP12" s="54">
        <f>IF(Representantes_IV[[#This Row],[Garantido PRIVIGEN]]&gt;Representantes_IV[[#This Row],[Valor PRIVIGEN]],Representantes_IV[[#This Row],[Garantido PRIVIGEN]],Representantes_IV[[#This Row],[Valor PRIVIGEN]])</f>
        <v>0</v>
      </c>
      <c r="AQ12" s="54">
        <f>SUM(Cota_Venda[Cota-Venda])</f>
        <v>24875647.060000017</v>
      </c>
      <c r="AR12" s="54">
        <f>SUMIFS(Venda[Venda-IV],Venda[@-Ministerio],FALSE)</f>
        <v>30797896.699999992</v>
      </c>
      <c r="AS12" s="34">
        <f>ROUNDUP(IFERROR(Representantes_IV[[#This Row],[Venda]]/Representantes_IV[[#This Row],[Cota Venda]],0),3)</f>
        <v>1.2389999999999999</v>
      </c>
      <c r="AT12" s="54">
        <f>VLOOKUP(Representantes_IV[[#This Row],[Cobertura Venda]],Valores_Representantes_ESP[],AT$1,1)</f>
        <v>631.32569999999998</v>
      </c>
      <c r="AU12" s="29">
        <f>SUMIFS(Visitas_Outros[Visitas-Meta],Visitas_Outros['#FK-Email-Representante],Representantes_IV[[#This Row],['#PK-Email-Representante]])</f>
        <v>84</v>
      </c>
      <c r="AV12" s="29">
        <f>SUMIFS(Visitas_Outros[Visitas-Realizadas],Visitas_Outros['#FK-Email-Representante],Representantes_IV[[#This Row],['#PK-Email-Representante]])</f>
        <v>127</v>
      </c>
      <c r="AW12" s="34">
        <f>ROUNDUP(IFERROR(Representantes_IV[[#This Row],[Visitas]]/Representantes_IV[[#This Row],[Meta Visitas]],0),3)</f>
        <v>1.5119999999999998</v>
      </c>
      <c r="AX12" s="53">
        <f>IF(Representantes_IV[[#This Row],[Cobertura Visitas]]&lt;Cobertura_Minima_REP,0,VLOOKUP(Representantes_IV[[#This Row],[Cobertura Visitas]],Valores_Representantes_ESP[],AX$1,1))</f>
        <v>1559.1016</v>
      </c>
      <c r="AY12" s="33">
        <f>SUMIFS(Visitas_Outros[%Realizado-Connect-Mind],Visitas_Outros['#FK-Email-Representante],Representantes_IV[[#This Row],['#PK-Email-Representante]])</f>
        <v>1</v>
      </c>
      <c r="AZ12" s="53">
        <f>IF(Representantes_IV[[#This Row],[Cobertura Connect Mind]]&lt;Cobertura_Minima_REP,0,VLOOKUP(Representantes_IV[[#This Row],[Cobertura Connect Mind]],Valores_Representantes_ESP[],AZ$1,1))</f>
        <v>376.08229999999998</v>
      </c>
      <c r="BA12" s="33">
        <f>SUMIFS(Visitas_Outros[%Realizado-Aval-GR],Visitas_Outros['#FK-Email-Representante],Representantes_IV[[#This Row],['#PK-Email-Representante]])</f>
        <v>1</v>
      </c>
      <c r="BB12" s="53">
        <f>IF(Representantes_IV[[#This Row],[Cobertura Gerente Conta]]&lt;Cobertura_Minima_REP,0,VLOOKUP(Representantes_IV[[#This Row],[Cobertura Gerente Conta]],Valores_Representantes_ESP[],BB$1,1))</f>
        <v>1128.2470000000001</v>
      </c>
      <c r="BC12" s="33">
        <f>SUMIFS(Visitas_Outros[%Realizado-Plateau],Visitas_Outros['#FK-Email-Representante],Representantes_IV[[#This Row],['#PK-Email-Representante]])</f>
        <v>1</v>
      </c>
      <c r="BD12" s="53">
        <f>IF(Representantes_IV[[#This Row],[Cobertura Plateau]]&lt;Cobertura_Minima_REP,0,VLOOKUP(Representantes_IV[[#This Row],[Cobertura Plateau]],Valores_Representantes_ESP[],BD$1,1))</f>
        <v>376.08229999999998</v>
      </c>
      <c r="BE12" s="33">
        <f>SUMIFS(Visitas_Outros[%Realizado-Compliance],Visitas_Outros['#FK-Email-Representante],Representantes_IV[[#This Row],['#PK-Email-Representante]])</f>
        <v>1</v>
      </c>
      <c r="BF12" s="53">
        <f>IF(Representantes_IV[[#This Row],[Cobertura Compliance]]&lt;Cobertura_Minima_REP,0,VLOOKUP(Representantes_IV[[#This Row],[Cobertura Compliance]],Valores_Representantes_ESP[],BF$1,1))</f>
        <v>376.08229999999998</v>
      </c>
      <c r="BG12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4446.9211999999998</v>
      </c>
    </row>
    <row r="13" spans="1:59" x14ac:dyDescent="0.25">
      <c r="A13" s="9" t="s">
        <v>128</v>
      </c>
      <c r="B13" s="9" t="s">
        <v>29</v>
      </c>
      <c r="C13" s="46" t="b">
        <v>1</v>
      </c>
      <c r="D13" s="46" t="b">
        <v>1</v>
      </c>
      <c r="E13" s="46" t="b">
        <v>0</v>
      </c>
      <c r="F13" s="46" t="b">
        <v>0</v>
      </c>
      <c r="G13" s="5" t="str">
        <f>IF(COUNTIF(Representantes_IV[[#This Row],[@-HSP]:[@-EMH]],TRUE)&lt;&gt;1,"Erro","OK")</f>
        <v>OK</v>
      </c>
      <c r="H13" s="29">
        <f>SUMIFS(Demanda_IV_REP[Demanda-IV],Demanda_IV_REP['#FK-Email-Representante],Representantes_IV[[#This Row],['#PK-Email-Representante]],Demanda_IV_REP['#FK-Cod-Linha],H$1)</f>
        <v>232</v>
      </c>
      <c r="I13" s="29">
        <f>SUMIFS(Demanda_IV_REP[Demanda-IV],Demanda_IV_REP['#FK-Email-Representante],Representantes_IV[[#This Row],['#PK-Email-Representante]],Demanda_IV_REP['#FK-Cod-Linha],I$1)</f>
        <v>7</v>
      </c>
      <c r="J13" s="29">
        <f>SUMIFS(Demanda_IV_REP[Demanda-IV],Demanda_IV_REP['#FK-Email-Representante],Representantes_IV[[#This Row],['#PK-Email-Representante]],Demanda_IV_REP['#FK-Cod-Linha],J$1)</f>
        <v>3</v>
      </c>
      <c r="K13" s="29">
        <f>SUMIFS(Demanda_IV_REP[Demanda-IV],Demanda_IV_REP['#FK-Email-Representante],Representantes_IV[[#This Row],['#PK-Email-Representante]],Demanda_IV_REP['#FK-Cod-Linha],K$1)</f>
        <v>264</v>
      </c>
      <c r="L13" s="29">
        <f>SUMIFS(Demanda_IV_REP[Demanda-IV],Demanda_IV_REP['#FK-Email-Representante],Representantes_IV[[#This Row],['#PK-Email-Representante]],Demanda_IV_REP['#FK-Cod-Linha],L$1)</f>
        <v>11855</v>
      </c>
      <c r="M13" s="29">
        <f>SUMIFS(Cota_Demanda[Cota-Representante],Cota_Demanda['#FK-Email-Representante],Representantes_IV[[#This Row],['#PK-Email-Representante]],Cota_Demanda['#FK-Cod-Linha],M$1)</f>
        <v>0</v>
      </c>
      <c r="N13" s="29">
        <f>SUMIFS(Cota_Demanda[Cota-Representante],Cota_Demanda['#FK-Email-Representante],Representantes_IV[[#This Row],['#PK-Email-Representante]],Cota_Demanda['#FK-Cod-Linha],N$1)</f>
        <v>64.5</v>
      </c>
      <c r="O13" s="29">
        <f>SUMIFS(Cota_Demanda[Cota-Representante],Cota_Demanda['#FK-Email-Representante],Representantes_IV[[#This Row],['#PK-Email-Representante]],Cota_Demanda['#FK-Cod-Linha],O$1)</f>
        <v>84</v>
      </c>
      <c r="P13" s="29">
        <f>SUMIFS(Cota_Demanda[Cota-Representante],Cota_Demanda['#FK-Email-Representante],Representantes_IV[[#This Row],['#PK-Email-Representante]],Cota_Demanda['#FK-Cod-Linha],P$1)</f>
        <v>0</v>
      </c>
      <c r="Q13" s="29">
        <f>SUMIFS(Cota_Demanda[Cota-Representante],Cota_Demanda['#FK-Email-Representante],Representantes_IV[[#This Row],['#PK-Email-Representante]],Cota_Demanda['#FK-Cod-Linha],Q$1)</f>
        <v>11562.83</v>
      </c>
      <c r="R13" s="34" t="str">
        <f>IF(Representantes_IV[[#This Row],[Cota BERINERT]]=0,"-",ROUNDUP(Representantes_IV[[#This Row],[Demanda BERINERT]]/Representantes_IV[[#This Row],[Cota BERINERT]],3))</f>
        <v>-</v>
      </c>
      <c r="S13" s="34">
        <f>IF(Representantes_IV[[#This Row],[Cota BERIPLEX]]=0,"-",ROUNDUP(Representantes_IV[[#This Row],[Demanda BERIPLEX]]/Representantes_IV[[#This Row],[Cota BERIPLEX]],3))</f>
        <v>0.109</v>
      </c>
      <c r="T13" s="34">
        <f>IF(Representantes_IV[[#This Row],[Cota HAEMO]]=0,"-",ROUNDUP(Representantes_IV[[#This Row],[Demanda HAEMO]]/Representantes_IV[[#This Row],[Cota HAEMO]],3))</f>
        <v>3.6000000000000004E-2</v>
      </c>
      <c r="U13" s="34" t="str">
        <f>IF(Representantes_IV[[#This Row],[Cota HIZENTRA]]=0,"-",ROUNDUP(Representantes_IV[[#This Row],[Demanda HIZENTRA]]/Representantes_IV[[#This Row],[Cota HIZENTRA]],3))</f>
        <v>-</v>
      </c>
      <c r="V13" s="34">
        <f>IF(Representantes_IV[[#This Row],[Cota PRIVIGEN]]=0,"-",ROUNDUP(Representantes_IV[[#This Row],[Demanda PRIVIGEN]]/Representantes_IV[[#This Row],[Cota PRIVIGEN]],3))</f>
        <v>1.0259999999999998</v>
      </c>
      <c r="W13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3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3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3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3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385.48399999999998</v>
      </c>
      <c r="AB13" s="55">
        <f>SUMIFS(Cota_Demanda[%-Garantido],Cota_Demanda['#FK-Email-Representante],Representantes_IV[[#This Row],['#PK-Email-Representante]],Cota_Demanda['#FK-Cod-Linha],AB$1)</f>
        <v>0</v>
      </c>
      <c r="AC13" s="55">
        <f>SUMIFS(Cota_Demanda[%-Garantido],Cota_Demanda['#FK-Email-Representante],Representantes_IV[[#This Row],['#PK-Email-Representante]],Cota_Demanda['#FK-Cod-Linha],AC$1)</f>
        <v>0</v>
      </c>
      <c r="AD13" s="55">
        <f>SUMIFS(Cota_Demanda[%-Garantido],Cota_Demanda['#FK-Email-Representante],Representantes_IV[[#This Row],['#PK-Email-Representante]],Cota_Demanda['#FK-Cod-Linha],AD$1)</f>
        <v>0</v>
      </c>
      <c r="AE13" s="55">
        <f>SUMIFS(Cota_Demanda[%-Garantido],Cota_Demanda['#FK-Email-Representante],Representantes_IV[[#This Row],['#PK-Email-Representante]],Cota_Demanda['#FK-Cod-Linha],AE$1)</f>
        <v>0</v>
      </c>
      <c r="AF13" s="55">
        <f>SUMIFS(Cota_Demanda[%-Garantido],Cota_Demanda['#FK-Email-Representante],Representantes_IV[[#This Row],['#PK-Email-Representante]],Cota_Demanda['#FK-Cod-Linha],AF$1)</f>
        <v>0</v>
      </c>
      <c r="AG13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3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3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3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3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3" s="54">
        <f>IF(Representantes_IV[[#This Row],[Garatido BERINERT]]&gt;Representantes_IV[[#This Row],[Valor BERINERT]],Representantes_IV[[#This Row],[Garatido BERINERT]],Representantes_IV[[#This Row],[Valor BERINERT]])</f>
        <v>0</v>
      </c>
      <c r="AM13" s="54">
        <f>IF(Representantes_IV[[#This Row],[Garantido BERIPLEX]]&gt;Representantes_IV[[#This Row],[Valor BERIPLEX]],Representantes_IV[[#This Row],[Garantido BERIPLEX]],Representantes_IV[[#This Row],[Valor BERIPLEX]])</f>
        <v>0</v>
      </c>
      <c r="AN13" s="54">
        <f>IF(Representantes_IV[[#This Row],[Garantido HAEMO]]&gt;Representantes_IV[[#This Row],[Valor HAEMO]],Representantes_IV[[#This Row],[Garantido HAEMO]],Representantes_IV[[#This Row],[Valor HAEMO]])</f>
        <v>0</v>
      </c>
      <c r="AO13" s="54">
        <f>IF(Representantes_IV[[#This Row],[Garantido HIZENTRA]]&gt;Representantes_IV[[#This Row],[Valor HIZENTRA]],Representantes_IV[[#This Row],[Garantido HIZENTRA]],Representantes_IV[[#This Row],[Valor HIZENTRA]])</f>
        <v>0</v>
      </c>
      <c r="AP13" s="54">
        <f>IF(Representantes_IV[[#This Row],[Garantido PRIVIGEN]]&gt;Representantes_IV[[#This Row],[Valor PRIVIGEN]],Representantes_IV[[#This Row],[Garantido PRIVIGEN]],Representantes_IV[[#This Row],[Valor PRIVIGEN]])</f>
        <v>385.48399999999998</v>
      </c>
      <c r="AQ13" s="54">
        <f>SUM(Cota_Venda[Cota-Venda])</f>
        <v>24875647.060000017</v>
      </c>
      <c r="AR13" s="54">
        <f>SUMIFS(Venda[Venda-IV],Venda[@-Ministerio],FALSE)</f>
        <v>30797896.699999992</v>
      </c>
      <c r="AS13" s="34">
        <f>ROUNDUP(IFERROR(Representantes_IV[[#This Row],[Venda]]/Representantes_IV[[#This Row],[Cota Venda]],0),3)</f>
        <v>1.2389999999999999</v>
      </c>
      <c r="AT13" s="54">
        <f>VLOOKUP(Representantes_IV[[#This Row],[Cobertura Venda]],Valores_Representantes_ESP[],AT$1,1)</f>
        <v>631.32569999999998</v>
      </c>
      <c r="AU13" s="29">
        <f>SUMIFS(Visitas_Outros[Visitas-Meta],Visitas_Outros['#FK-Email-Representante],Representantes_IV[[#This Row],['#PK-Email-Representante]])</f>
        <v>92</v>
      </c>
      <c r="AV13" s="29">
        <f>SUMIFS(Visitas_Outros[Visitas-Realizadas],Visitas_Outros['#FK-Email-Representante],Representantes_IV[[#This Row],['#PK-Email-Representante]])</f>
        <v>119</v>
      </c>
      <c r="AW13" s="34">
        <f>ROUNDUP(IFERROR(Representantes_IV[[#This Row],[Visitas]]/Representantes_IV[[#This Row],[Meta Visitas]],0),3)</f>
        <v>1.2939999999999998</v>
      </c>
      <c r="AX13" s="53">
        <f>IF(Representantes_IV[[#This Row],[Cobertura Visitas]]&lt;Cobertura_Minima_REP,0,VLOOKUP(Representantes_IV[[#This Row],[Cobertura Visitas]],Valores_Representantes_ESP[],AX$1,1))</f>
        <v>1318.7465999999999</v>
      </c>
      <c r="AY13" s="33">
        <f>SUMIFS(Visitas_Outros[%Realizado-Connect-Mind],Visitas_Outros['#FK-Email-Representante],Representantes_IV[[#This Row],['#PK-Email-Representante]])</f>
        <v>1</v>
      </c>
      <c r="AZ13" s="53">
        <f>IF(Representantes_IV[[#This Row],[Cobertura Connect Mind]]&lt;Cobertura_Minima_REP,0,VLOOKUP(Representantes_IV[[#This Row],[Cobertura Connect Mind]],Valores_Representantes_ESP[],AZ$1,1))</f>
        <v>376.08229999999998</v>
      </c>
      <c r="BA13" s="33">
        <f>SUMIFS(Visitas_Outros[%Realizado-Aval-GR],Visitas_Outros['#FK-Email-Representante],Representantes_IV[[#This Row],['#PK-Email-Representante]])</f>
        <v>1</v>
      </c>
      <c r="BB13" s="53">
        <f>IF(Representantes_IV[[#This Row],[Cobertura Gerente Conta]]&lt;Cobertura_Minima_REP,0,VLOOKUP(Representantes_IV[[#This Row],[Cobertura Gerente Conta]],Valores_Representantes_ESP[],BB$1,1))</f>
        <v>1128.2470000000001</v>
      </c>
      <c r="BC13" s="33">
        <f>SUMIFS(Visitas_Outros[%Realizado-Plateau],Visitas_Outros['#FK-Email-Representante],Representantes_IV[[#This Row],['#PK-Email-Representante]])</f>
        <v>1</v>
      </c>
      <c r="BD13" s="53">
        <f>IF(Representantes_IV[[#This Row],[Cobertura Plateau]]&lt;Cobertura_Minima_REP,0,VLOOKUP(Representantes_IV[[#This Row],[Cobertura Plateau]],Valores_Representantes_ESP[],BD$1,1))</f>
        <v>376.08229999999998</v>
      </c>
      <c r="BE13" s="33">
        <f>SUMIFS(Visitas_Outros[%Realizado-Compliance],Visitas_Outros['#FK-Email-Representante],Representantes_IV[[#This Row],['#PK-Email-Representante]])</f>
        <v>1</v>
      </c>
      <c r="BF13" s="53">
        <f>IF(Representantes_IV[[#This Row],[Cobertura Compliance]]&lt;Cobertura_Minima_REP,0,VLOOKUP(Representantes_IV[[#This Row],[Cobertura Compliance]],Valores_Representantes_ESP[],BF$1,1))</f>
        <v>376.08229999999998</v>
      </c>
      <c r="BG13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4592.0502000000006</v>
      </c>
    </row>
    <row r="14" spans="1:59" x14ac:dyDescent="0.25">
      <c r="A14" s="9" t="s">
        <v>122</v>
      </c>
      <c r="B14" s="9" t="s">
        <v>32</v>
      </c>
      <c r="C14" s="46" t="b">
        <v>1</v>
      </c>
      <c r="D14" s="46" t="b">
        <v>1</v>
      </c>
      <c r="E14" s="46" t="b">
        <v>0</v>
      </c>
      <c r="F14" s="46" t="b">
        <v>0</v>
      </c>
      <c r="G14" s="5" t="str">
        <f>IF(COUNTIF(Representantes_IV[[#This Row],[@-HSP]:[@-EMH]],TRUE)&lt;&gt;1,"Erro","OK")</f>
        <v>OK</v>
      </c>
      <c r="H14" s="29">
        <f>SUMIFS(Demanda_IV_REP[Demanda-IV],Demanda_IV_REP['#FK-Email-Representante],Representantes_IV[[#This Row],['#PK-Email-Representante]],Demanda_IV_REP['#FK-Cod-Linha],H$1)</f>
        <v>0</v>
      </c>
      <c r="I14" s="29">
        <f>SUMIFS(Demanda_IV_REP[Demanda-IV],Demanda_IV_REP['#FK-Email-Representante],Representantes_IV[[#This Row],['#PK-Email-Representante]],Demanda_IV_REP['#FK-Cod-Linha],I$1)</f>
        <v>82</v>
      </c>
      <c r="J14" s="29">
        <f>SUMIFS(Demanda_IV_REP[Demanda-IV],Demanda_IV_REP['#FK-Email-Representante],Representantes_IV[[#This Row],['#PK-Email-Representante]],Demanda_IV_REP['#FK-Cod-Linha],J$1)</f>
        <v>47</v>
      </c>
      <c r="K14" s="29">
        <f>SUMIFS(Demanda_IV_REP[Demanda-IV],Demanda_IV_REP['#FK-Email-Representante],Representantes_IV[[#This Row],['#PK-Email-Representante]],Demanda_IV_REP['#FK-Cod-Linha],K$1)</f>
        <v>817</v>
      </c>
      <c r="L14" s="29">
        <f>SUMIFS(Demanda_IV_REP[Demanda-IV],Demanda_IV_REP['#FK-Email-Representante],Representantes_IV[[#This Row],['#PK-Email-Representante]],Demanda_IV_REP['#FK-Cod-Linha],L$1)</f>
        <v>4187.5</v>
      </c>
      <c r="M14" s="29">
        <f>SUMIFS(Cota_Demanda[Cota-Representante],Cota_Demanda['#FK-Email-Representante],Representantes_IV[[#This Row],['#PK-Email-Representante]],Cota_Demanda['#FK-Cod-Linha],M$1)</f>
        <v>0</v>
      </c>
      <c r="N14" s="29">
        <f>SUMIFS(Cota_Demanda[Cota-Representante],Cota_Demanda['#FK-Email-Representante],Representantes_IV[[#This Row],['#PK-Email-Representante]],Cota_Demanda['#FK-Cod-Linha],N$1)</f>
        <v>236.5</v>
      </c>
      <c r="O14" s="29">
        <f>SUMIFS(Cota_Demanda[Cota-Representante],Cota_Demanda['#FK-Email-Representante],Representantes_IV[[#This Row],['#PK-Email-Representante]],Cota_Demanda['#FK-Cod-Linha],O$1)</f>
        <v>105</v>
      </c>
      <c r="P14" s="29">
        <f>SUMIFS(Cota_Demanda[Cota-Representante],Cota_Demanda['#FK-Email-Representante],Representantes_IV[[#This Row],['#PK-Email-Representante]],Cota_Demanda['#FK-Cod-Linha],P$1)</f>
        <v>0</v>
      </c>
      <c r="Q14" s="29">
        <f>SUMIFS(Cota_Demanda[Cota-Representante],Cota_Demanda['#FK-Email-Representante],Representantes_IV[[#This Row],['#PK-Email-Representante]],Cota_Demanda['#FK-Cod-Linha],Q$1)</f>
        <v>4761.17</v>
      </c>
      <c r="R14" s="34" t="str">
        <f>IF(Representantes_IV[[#This Row],[Cota BERINERT]]=0,"-",ROUNDUP(Representantes_IV[[#This Row],[Demanda BERINERT]]/Representantes_IV[[#This Row],[Cota BERINERT]],3))</f>
        <v>-</v>
      </c>
      <c r="S14" s="34">
        <f>IF(Representantes_IV[[#This Row],[Cota BERIPLEX]]=0,"-",ROUNDUP(Representantes_IV[[#This Row],[Demanda BERIPLEX]]/Representantes_IV[[#This Row],[Cota BERIPLEX]],3))</f>
        <v>0.34699999999999998</v>
      </c>
      <c r="T14" s="34">
        <f>IF(Representantes_IV[[#This Row],[Cota HAEMO]]=0,"-",ROUNDUP(Representantes_IV[[#This Row],[Demanda HAEMO]]/Representantes_IV[[#This Row],[Cota HAEMO]],3))</f>
        <v>0.44800000000000001</v>
      </c>
      <c r="U14" s="34" t="str">
        <f>IF(Representantes_IV[[#This Row],[Cota HIZENTRA]]=0,"-",ROUNDUP(Representantes_IV[[#This Row],[Demanda HIZENTRA]]/Representantes_IV[[#This Row],[Cota HIZENTRA]],3))</f>
        <v>-</v>
      </c>
      <c r="V14" s="34">
        <f>IF(Representantes_IV[[#This Row],[Cota PRIVIGEN]]=0,"-",ROUNDUP(Representantes_IV[[#This Row],[Demanda PRIVIGEN]]/Representantes_IV[[#This Row],[Cota PRIVIGEN]],3))</f>
        <v>0.88</v>
      </c>
      <c r="W14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4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4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4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4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165.47620000000001</v>
      </c>
      <c r="AB14" s="55">
        <f>SUMIFS(Cota_Demanda[%-Garantido],Cota_Demanda['#FK-Email-Representante],Representantes_IV[[#This Row],['#PK-Email-Representante]],Cota_Demanda['#FK-Cod-Linha],AB$1)</f>
        <v>0</v>
      </c>
      <c r="AC14" s="55">
        <f>SUMIFS(Cota_Demanda[%-Garantido],Cota_Demanda['#FK-Email-Representante],Representantes_IV[[#This Row],['#PK-Email-Representante]],Cota_Demanda['#FK-Cod-Linha],AC$1)</f>
        <v>0</v>
      </c>
      <c r="AD14" s="55">
        <f>SUMIFS(Cota_Demanda[%-Garantido],Cota_Demanda['#FK-Email-Representante],Representantes_IV[[#This Row],['#PK-Email-Representante]],Cota_Demanda['#FK-Cod-Linha],AD$1)</f>
        <v>0</v>
      </c>
      <c r="AE14" s="55">
        <f>SUMIFS(Cota_Demanda[%-Garantido],Cota_Demanda['#FK-Email-Representante],Representantes_IV[[#This Row],['#PK-Email-Representante]],Cota_Demanda['#FK-Cod-Linha],AE$1)</f>
        <v>0</v>
      </c>
      <c r="AF14" s="55">
        <f>SUMIFS(Cota_Demanda[%-Garantido],Cota_Demanda['#FK-Email-Representante],Representantes_IV[[#This Row],['#PK-Email-Representante]],Cota_Demanda['#FK-Cod-Linha],AF$1)</f>
        <v>0</v>
      </c>
      <c r="AG14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4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4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4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4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4" s="54">
        <f>IF(Representantes_IV[[#This Row],[Garatido BERINERT]]&gt;Representantes_IV[[#This Row],[Valor BERINERT]],Representantes_IV[[#This Row],[Garatido BERINERT]],Representantes_IV[[#This Row],[Valor BERINERT]])</f>
        <v>0</v>
      </c>
      <c r="AM14" s="54">
        <f>IF(Representantes_IV[[#This Row],[Garantido BERIPLEX]]&gt;Representantes_IV[[#This Row],[Valor BERIPLEX]],Representantes_IV[[#This Row],[Garantido BERIPLEX]],Representantes_IV[[#This Row],[Valor BERIPLEX]])</f>
        <v>0</v>
      </c>
      <c r="AN14" s="54">
        <f>IF(Representantes_IV[[#This Row],[Garantido HAEMO]]&gt;Representantes_IV[[#This Row],[Valor HAEMO]],Representantes_IV[[#This Row],[Garantido HAEMO]],Representantes_IV[[#This Row],[Valor HAEMO]])</f>
        <v>0</v>
      </c>
      <c r="AO14" s="54">
        <f>IF(Representantes_IV[[#This Row],[Garantido HIZENTRA]]&gt;Representantes_IV[[#This Row],[Valor HIZENTRA]],Representantes_IV[[#This Row],[Garantido HIZENTRA]],Representantes_IV[[#This Row],[Valor HIZENTRA]])</f>
        <v>0</v>
      </c>
      <c r="AP14" s="54">
        <f>IF(Representantes_IV[[#This Row],[Garantido PRIVIGEN]]&gt;Representantes_IV[[#This Row],[Valor PRIVIGEN]],Representantes_IV[[#This Row],[Garantido PRIVIGEN]],Representantes_IV[[#This Row],[Valor PRIVIGEN]])</f>
        <v>165.47620000000001</v>
      </c>
      <c r="AQ14" s="54">
        <f>SUM(Cota_Venda[Cota-Venda])</f>
        <v>24875647.060000017</v>
      </c>
      <c r="AR14" s="54">
        <f>SUMIFS(Venda[Venda-IV],Venda[@-Ministerio],FALSE)</f>
        <v>30797896.699999992</v>
      </c>
      <c r="AS14" s="34">
        <f>ROUNDUP(IFERROR(Representantes_IV[[#This Row],[Venda]]/Representantes_IV[[#This Row],[Cota Venda]],0),3)</f>
        <v>1.2389999999999999</v>
      </c>
      <c r="AT14" s="54">
        <f>VLOOKUP(Representantes_IV[[#This Row],[Cobertura Venda]],Valores_Representantes_ESP[],AT$1,1)</f>
        <v>631.32569999999998</v>
      </c>
      <c r="AU14" s="29">
        <f>SUMIFS(Visitas_Outros[Visitas-Meta],Visitas_Outros['#FK-Email-Representante],Representantes_IV[[#This Row],['#PK-Email-Representante]])</f>
        <v>92</v>
      </c>
      <c r="AV14" s="29">
        <f>SUMIFS(Visitas_Outros[Visitas-Realizadas],Visitas_Outros['#FK-Email-Representante],Representantes_IV[[#This Row],['#PK-Email-Representante]])</f>
        <v>142</v>
      </c>
      <c r="AW14" s="34">
        <f>ROUNDUP(IFERROR(Representantes_IV[[#This Row],[Visitas]]/Representantes_IV[[#This Row],[Meta Visitas]],0),3)</f>
        <v>1.5439999999999998</v>
      </c>
      <c r="AX14" s="53">
        <f>IF(Representantes_IV[[#This Row],[Cobertura Visitas]]&lt;Cobertura_Minima_REP,0,VLOOKUP(Representantes_IV[[#This Row],[Cobertura Visitas]],Valores_Representantes_ESP[],AX$1,1))</f>
        <v>1559.1016</v>
      </c>
      <c r="AY14" s="33">
        <f>SUMIFS(Visitas_Outros[%Realizado-Connect-Mind],Visitas_Outros['#FK-Email-Representante],Representantes_IV[[#This Row],['#PK-Email-Representante]])</f>
        <v>1</v>
      </c>
      <c r="AZ14" s="53">
        <f>IF(Representantes_IV[[#This Row],[Cobertura Connect Mind]]&lt;Cobertura_Minima_REP,0,VLOOKUP(Representantes_IV[[#This Row],[Cobertura Connect Mind]],Valores_Representantes_ESP[],AZ$1,1))</f>
        <v>376.08229999999998</v>
      </c>
      <c r="BA14" s="33">
        <f>SUMIFS(Visitas_Outros[%Realizado-Aval-GR],Visitas_Outros['#FK-Email-Representante],Representantes_IV[[#This Row],['#PK-Email-Representante]])</f>
        <v>1</v>
      </c>
      <c r="BB14" s="53">
        <f>IF(Representantes_IV[[#This Row],[Cobertura Gerente Conta]]&lt;Cobertura_Minima_REP,0,VLOOKUP(Representantes_IV[[#This Row],[Cobertura Gerente Conta]],Valores_Representantes_ESP[],BB$1,1))</f>
        <v>1128.2470000000001</v>
      </c>
      <c r="BC14" s="33">
        <f>SUMIFS(Visitas_Outros[%Realizado-Plateau],Visitas_Outros['#FK-Email-Representante],Representantes_IV[[#This Row],['#PK-Email-Representante]])</f>
        <v>1</v>
      </c>
      <c r="BD14" s="53">
        <f>IF(Representantes_IV[[#This Row],[Cobertura Plateau]]&lt;Cobertura_Minima_REP,0,VLOOKUP(Representantes_IV[[#This Row],[Cobertura Plateau]],Valores_Representantes_ESP[],BD$1,1))</f>
        <v>376.08229999999998</v>
      </c>
      <c r="BE14" s="33">
        <f>SUMIFS(Visitas_Outros[%Realizado-Compliance],Visitas_Outros['#FK-Email-Representante],Representantes_IV[[#This Row],['#PK-Email-Representante]])</f>
        <v>1</v>
      </c>
      <c r="BF14" s="53">
        <f>IF(Representantes_IV[[#This Row],[Cobertura Compliance]]&lt;Cobertura_Minima_REP,0,VLOOKUP(Representantes_IV[[#This Row],[Cobertura Compliance]],Valores_Representantes_ESP[],BF$1,1))</f>
        <v>376.08229999999998</v>
      </c>
      <c r="BG14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4612.3973999999998</v>
      </c>
    </row>
    <row r="15" spans="1:59" x14ac:dyDescent="0.25">
      <c r="A15" s="9" t="s">
        <v>117</v>
      </c>
      <c r="B15" s="9" t="s">
        <v>33</v>
      </c>
      <c r="C15" s="46" t="b">
        <v>1</v>
      </c>
      <c r="D15" s="46" t="b">
        <v>1</v>
      </c>
      <c r="E15" s="46" t="b">
        <v>0</v>
      </c>
      <c r="F15" s="46" t="b">
        <v>0</v>
      </c>
      <c r="G15" s="5" t="str">
        <f>IF(COUNTIF(Representantes_IV[[#This Row],[@-HSP]:[@-EMH]],TRUE)&lt;&gt;1,"Erro","OK")</f>
        <v>OK</v>
      </c>
      <c r="H15" s="29">
        <f>SUMIFS(Demanda_IV_REP[Demanda-IV],Demanda_IV_REP['#FK-Email-Representante],Representantes_IV[[#This Row],['#PK-Email-Representante]],Demanda_IV_REP['#FK-Cod-Linha],H$1)</f>
        <v>128</v>
      </c>
      <c r="I15" s="29">
        <f>SUMIFS(Demanda_IV_REP[Demanda-IV],Demanda_IV_REP['#FK-Email-Representante],Representantes_IV[[#This Row],['#PK-Email-Representante]],Demanda_IV_REP['#FK-Cod-Linha],I$1)</f>
        <v>43</v>
      </c>
      <c r="J15" s="29">
        <f>SUMIFS(Demanda_IV_REP[Demanda-IV],Demanda_IV_REP['#FK-Email-Representante],Representantes_IV[[#This Row],['#PK-Email-Representante]],Demanda_IV_REP['#FK-Cod-Linha],J$1)</f>
        <v>17</v>
      </c>
      <c r="K15" s="29">
        <f>SUMIFS(Demanda_IV_REP[Demanda-IV],Demanda_IV_REP['#FK-Email-Representante],Representantes_IV[[#This Row],['#PK-Email-Representante]],Demanda_IV_REP['#FK-Cod-Linha],K$1)</f>
        <v>11</v>
      </c>
      <c r="L15" s="29">
        <f>SUMIFS(Demanda_IV_REP[Demanda-IV],Demanda_IV_REP['#FK-Email-Representante],Representantes_IV[[#This Row],['#PK-Email-Representante]],Demanda_IV_REP['#FK-Cod-Linha],L$1)</f>
        <v>5360</v>
      </c>
      <c r="M15" s="29">
        <f>SUMIFS(Cota_Demanda[Cota-Representante],Cota_Demanda['#FK-Email-Representante],Representantes_IV[[#This Row],['#PK-Email-Representante]],Cota_Demanda['#FK-Cod-Linha],M$1)</f>
        <v>0</v>
      </c>
      <c r="N15" s="29">
        <f>SUMIFS(Cota_Demanda[Cota-Representante],Cota_Demanda['#FK-Email-Representante],Representantes_IV[[#This Row],['#PK-Email-Representante]],Cota_Demanda['#FK-Cod-Linha],N$1)</f>
        <v>107.5</v>
      </c>
      <c r="O15" s="29">
        <f>SUMIFS(Cota_Demanda[Cota-Representante],Cota_Demanda['#FK-Email-Representante],Representantes_IV[[#This Row],['#PK-Email-Representante]],Cota_Demanda['#FK-Cod-Linha],O$1)</f>
        <v>273</v>
      </c>
      <c r="P15" s="29">
        <f>SUMIFS(Cota_Demanda[Cota-Representante],Cota_Demanda['#FK-Email-Representante],Representantes_IV[[#This Row],['#PK-Email-Representante]],Cota_Demanda['#FK-Cod-Linha],P$1)</f>
        <v>0</v>
      </c>
      <c r="Q15" s="29">
        <f>SUMIFS(Cota_Demanda[Cota-Representante],Cota_Demanda['#FK-Email-Representante],Representantes_IV[[#This Row],['#PK-Email-Representante]],Cota_Demanda['#FK-Cod-Linha],Q$1)</f>
        <v>2040.5</v>
      </c>
      <c r="R15" s="34" t="str">
        <f>IF(Representantes_IV[[#This Row],[Cota BERINERT]]=0,"-",ROUNDUP(Representantes_IV[[#This Row],[Demanda BERINERT]]/Representantes_IV[[#This Row],[Cota BERINERT]],3))</f>
        <v>-</v>
      </c>
      <c r="S15" s="34">
        <f>IF(Representantes_IV[[#This Row],[Cota BERIPLEX]]=0,"-",ROUNDUP(Representantes_IV[[#This Row],[Demanda BERIPLEX]]/Representantes_IV[[#This Row],[Cota BERIPLEX]],3))</f>
        <v>0.4</v>
      </c>
      <c r="T15" s="34">
        <f>IF(Representantes_IV[[#This Row],[Cota HAEMO]]=0,"-",ROUNDUP(Representantes_IV[[#This Row],[Demanda HAEMO]]/Representantes_IV[[#This Row],[Cota HAEMO]],3))</f>
        <v>6.3E-2</v>
      </c>
      <c r="U15" s="34" t="str">
        <f>IF(Representantes_IV[[#This Row],[Cota HIZENTRA]]=0,"-",ROUNDUP(Representantes_IV[[#This Row],[Demanda HIZENTRA]]/Representantes_IV[[#This Row],[Cota HIZENTRA]],3))</f>
        <v>-</v>
      </c>
      <c r="V15" s="34">
        <f>IF(Representantes_IV[[#This Row],[Cota PRIVIGEN]]=0,"-",ROUNDUP(Representantes_IV[[#This Row],[Demanda PRIVIGEN]]/Representantes_IV[[#This Row],[Cota PRIVIGEN]],3))</f>
        <v>2.6269999999999998</v>
      </c>
      <c r="W15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5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5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5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5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1559.1016</v>
      </c>
      <c r="AB15" s="55">
        <f>SUMIFS(Cota_Demanda[%-Garantido],Cota_Demanda['#FK-Email-Representante],Representantes_IV[[#This Row],['#PK-Email-Representante]],Cota_Demanda['#FK-Cod-Linha],AB$1)</f>
        <v>0</v>
      </c>
      <c r="AC15" s="55">
        <f>SUMIFS(Cota_Demanda[%-Garantido],Cota_Demanda['#FK-Email-Representante],Representantes_IV[[#This Row],['#PK-Email-Representante]],Cota_Demanda['#FK-Cod-Linha],AC$1)</f>
        <v>0</v>
      </c>
      <c r="AD15" s="55">
        <f>SUMIFS(Cota_Demanda[%-Garantido],Cota_Demanda['#FK-Email-Representante],Representantes_IV[[#This Row],['#PK-Email-Representante]],Cota_Demanda['#FK-Cod-Linha],AD$1)</f>
        <v>0</v>
      </c>
      <c r="AE15" s="55">
        <f>SUMIFS(Cota_Demanda[%-Garantido],Cota_Demanda['#FK-Email-Representante],Representantes_IV[[#This Row],['#PK-Email-Representante]],Cota_Demanda['#FK-Cod-Linha],AE$1)</f>
        <v>0</v>
      </c>
      <c r="AF15" s="55">
        <f>SUMIFS(Cota_Demanda[%-Garantido],Cota_Demanda['#FK-Email-Representante],Representantes_IV[[#This Row],['#PK-Email-Representante]],Cota_Demanda['#FK-Cod-Linha],AF$1)</f>
        <v>0</v>
      </c>
      <c r="AG15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5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5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5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5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5" s="54">
        <f>IF(Representantes_IV[[#This Row],[Garatido BERINERT]]&gt;Representantes_IV[[#This Row],[Valor BERINERT]],Representantes_IV[[#This Row],[Garatido BERINERT]],Representantes_IV[[#This Row],[Valor BERINERT]])</f>
        <v>0</v>
      </c>
      <c r="AM15" s="54">
        <f>IF(Representantes_IV[[#This Row],[Garantido BERIPLEX]]&gt;Representantes_IV[[#This Row],[Valor BERIPLEX]],Representantes_IV[[#This Row],[Garantido BERIPLEX]],Representantes_IV[[#This Row],[Valor BERIPLEX]])</f>
        <v>0</v>
      </c>
      <c r="AN15" s="54">
        <f>IF(Representantes_IV[[#This Row],[Garantido HAEMO]]&gt;Representantes_IV[[#This Row],[Valor HAEMO]],Representantes_IV[[#This Row],[Garantido HAEMO]],Representantes_IV[[#This Row],[Valor HAEMO]])</f>
        <v>0</v>
      </c>
      <c r="AO15" s="54">
        <f>IF(Representantes_IV[[#This Row],[Garantido HIZENTRA]]&gt;Representantes_IV[[#This Row],[Valor HIZENTRA]],Representantes_IV[[#This Row],[Garantido HIZENTRA]],Representantes_IV[[#This Row],[Valor HIZENTRA]])</f>
        <v>0</v>
      </c>
      <c r="AP15" s="54">
        <f>IF(Representantes_IV[[#This Row],[Garantido PRIVIGEN]]&gt;Representantes_IV[[#This Row],[Valor PRIVIGEN]],Representantes_IV[[#This Row],[Garantido PRIVIGEN]],Representantes_IV[[#This Row],[Valor PRIVIGEN]])</f>
        <v>1559.1016</v>
      </c>
      <c r="AQ15" s="54">
        <f>SUM(Cota_Venda[Cota-Venda])</f>
        <v>24875647.060000017</v>
      </c>
      <c r="AR15" s="54">
        <f>SUMIFS(Venda[Venda-IV],Venda[@-Ministerio],FALSE)</f>
        <v>30797896.699999992</v>
      </c>
      <c r="AS15" s="34">
        <f>ROUNDUP(IFERROR(Representantes_IV[[#This Row],[Venda]]/Representantes_IV[[#This Row],[Cota Venda]],0),3)</f>
        <v>1.2389999999999999</v>
      </c>
      <c r="AT15" s="54">
        <f>VLOOKUP(Representantes_IV[[#This Row],[Cobertura Venda]],Valores_Representantes_ESP[],AT$1,1)</f>
        <v>631.32569999999998</v>
      </c>
      <c r="AU15" s="29">
        <f>SUMIFS(Visitas_Outros[Visitas-Meta],Visitas_Outros['#FK-Email-Representante],Representantes_IV[[#This Row],['#PK-Email-Representante]])</f>
        <v>92</v>
      </c>
      <c r="AV15" s="29">
        <f>SUMIFS(Visitas_Outros[Visitas-Realizadas],Visitas_Outros['#FK-Email-Representante],Representantes_IV[[#This Row],['#PK-Email-Representante]])</f>
        <v>126</v>
      </c>
      <c r="AW15" s="34">
        <f>ROUNDUP(IFERROR(Representantes_IV[[#This Row],[Visitas]]/Representantes_IV[[#This Row],[Meta Visitas]],0),3)</f>
        <v>1.3699999999999999</v>
      </c>
      <c r="AX15" s="53">
        <f>IF(Representantes_IV[[#This Row],[Cobertura Visitas]]&lt;Cobertura_Minima_REP,0,VLOOKUP(Representantes_IV[[#This Row],[Cobertura Visitas]],Valores_Representantes_ESP[],AX$1,1))</f>
        <v>1405.1533999999999</v>
      </c>
      <c r="AY15" s="33">
        <f>SUMIFS(Visitas_Outros[%Realizado-Connect-Mind],Visitas_Outros['#FK-Email-Representante],Representantes_IV[[#This Row],['#PK-Email-Representante]])</f>
        <v>1</v>
      </c>
      <c r="AZ15" s="53">
        <f>IF(Representantes_IV[[#This Row],[Cobertura Connect Mind]]&lt;Cobertura_Minima_REP,0,VLOOKUP(Representantes_IV[[#This Row],[Cobertura Connect Mind]],Valores_Representantes_ESP[],AZ$1,1))</f>
        <v>376.08229999999998</v>
      </c>
      <c r="BA15" s="33">
        <f>SUMIFS(Visitas_Outros[%Realizado-Aval-GR],Visitas_Outros['#FK-Email-Representante],Representantes_IV[[#This Row],['#PK-Email-Representante]])</f>
        <v>1</v>
      </c>
      <c r="BB15" s="53">
        <f>IF(Representantes_IV[[#This Row],[Cobertura Gerente Conta]]&lt;Cobertura_Minima_REP,0,VLOOKUP(Representantes_IV[[#This Row],[Cobertura Gerente Conta]],Valores_Representantes_ESP[],BB$1,1))</f>
        <v>1128.2470000000001</v>
      </c>
      <c r="BC15" s="33">
        <f>SUMIFS(Visitas_Outros[%Realizado-Plateau],Visitas_Outros['#FK-Email-Representante],Representantes_IV[[#This Row],['#PK-Email-Representante]])</f>
        <v>1</v>
      </c>
      <c r="BD15" s="53">
        <f>IF(Representantes_IV[[#This Row],[Cobertura Plateau]]&lt;Cobertura_Minima_REP,0,VLOOKUP(Representantes_IV[[#This Row],[Cobertura Plateau]],Valores_Representantes_ESP[],BD$1,1))</f>
        <v>376.08229999999998</v>
      </c>
      <c r="BE15" s="33">
        <f>SUMIFS(Visitas_Outros[%Realizado-Compliance],Visitas_Outros['#FK-Email-Representante],Representantes_IV[[#This Row],['#PK-Email-Representante]])</f>
        <v>1</v>
      </c>
      <c r="BF15" s="53">
        <f>IF(Representantes_IV[[#This Row],[Cobertura Compliance]]&lt;Cobertura_Minima_REP,0,VLOOKUP(Representantes_IV[[#This Row],[Cobertura Compliance]],Valores_Representantes_ESP[],BF$1,1))</f>
        <v>376.08229999999998</v>
      </c>
      <c r="BG15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5852.0745999999999</v>
      </c>
    </row>
    <row r="16" spans="1:59" x14ac:dyDescent="0.25">
      <c r="A16" s="9" t="s">
        <v>130</v>
      </c>
      <c r="B16" s="9" t="s">
        <v>34</v>
      </c>
      <c r="C16" s="46" t="b">
        <v>1</v>
      </c>
      <c r="D16" s="46" t="b">
        <v>1</v>
      </c>
      <c r="E16" s="46" t="b">
        <v>0</v>
      </c>
      <c r="F16" s="46" t="b">
        <v>0</v>
      </c>
      <c r="G16" s="5" t="str">
        <f>IF(COUNTIF(Representantes_IV[[#This Row],[@-HSP]:[@-EMH]],TRUE)&lt;&gt;1,"Erro","OK")</f>
        <v>OK</v>
      </c>
      <c r="H16" s="29">
        <f>SUMIFS(Demanda_IV_REP[Demanda-IV],Demanda_IV_REP['#FK-Email-Representante],Representantes_IV[[#This Row],['#PK-Email-Representante]],Demanda_IV_REP['#FK-Cod-Linha],H$1)</f>
        <v>82</v>
      </c>
      <c r="I16" s="29">
        <f>SUMIFS(Demanda_IV_REP[Demanda-IV],Demanda_IV_REP['#FK-Email-Representante],Representantes_IV[[#This Row],['#PK-Email-Representante]],Demanda_IV_REP['#FK-Cod-Linha],I$1)</f>
        <v>115</v>
      </c>
      <c r="J16" s="29">
        <f>SUMIFS(Demanda_IV_REP[Demanda-IV],Demanda_IV_REP['#FK-Email-Representante],Representantes_IV[[#This Row],['#PK-Email-Representante]],Demanda_IV_REP['#FK-Cod-Linha],J$1)</f>
        <v>47</v>
      </c>
      <c r="K16" s="29">
        <f>SUMIFS(Demanda_IV_REP[Demanda-IV],Demanda_IV_REP['#FK-Email-Representante],Representantes_IV[[#This Row],['#PK-Email-Representante]],Demanda_IV_REP['#FK-Cod-Linha],K$1)</f>
        <v>658</v>
      </c>
      <c r="L16" s="29">
        <f>SUMIFS(Demanda_IV_REP[Demanda-IV],Demanda_IV_REP['#FK-Email-Representante],Representantes_IV[[#This Row],['#PK-Email-Representante]],Demanda_IV_REP['#FK-Cod-Linha],L$1)</f>
        <v>4320</v>
      </c>
      <c r="M16" s="29">
        <f>SUMIFS(Cota_Demanda[Cota-Representante],Cota_Demanda['#FK-Email-Representante],Representantes_IV[[#This Row],['#PK-Email-Representante]],Cota_Demanda['#FK-Cod-Linha],M$1)</f>
        <v>0</v>
      </c>
      <c r="N16" s="29">
        <f>SUMIFS(Cota_Demanda[Cota-Representante],Cota_Demanda['#FK-Email-Representante],Representantes_IV[[#This Row],['#PK-Email-Representante]],Cota_Demanda['#FK-Cod-Linha],N$1)</f>
        <v>172</v>
      </c>
      <c r="O16" s="29">
        <f>SUMIFS(Cota_Demanda[Cota-Representante],Cota_Demanda['#FK-Email-Representante],Representantes_IV[[#This Row],['#PK-Email-Representante]],Cota_Demanda['#FK-Cod-Linha],O$1)</f>
        <v>126</v>
      </c>
      <c r="P16" s="29">
        <f>SUMIFS(Cota_Demanda[Cota-Representante],Cota_Demanda['#FK-Email-Representante],Representantes_IV[[#This Row],['#PK-Email-Representante]],Cota_Demanda['#FK-Cod-Linha],P$1)</f>
        <v>0</v>
      </c>
      <c r="Q16" s="29">
        <f>SUMIFS(Cota_Demanda[Cota-Representante],Cota_Demanda['#FK-Email-Representante],Representantes_IV[[#This Row],['#PK-Email-Representante]],Cota_Demanda['#FK-Cod-Linha],Q$1)</f>
        <v>4081</v>
      </c>
      <c r="R16" s="34" t="str">
        <f>IF(Representantes_IV[[#This Row],[Cota BERINERT]]=0,"-",ROUNDUP(Representantes_IV[[#This Row],[Demanda BERINERT]]/Representantes_IV[[#This Row],[Cota BERINERT]],3))</f>
        <v>-</v>
      </c>
      <c r="S16" s="34">
        <f>IF(Representantes_IV[[#This Row],[Cota BERIPLEX]]=0,"-",ROUNDUP(Representantes_IV[[#This Row],[Demanda BERIPLEX]]/Representantes_IV[[#This Row],[Cota BERIPLEX]],3))</f>
        <v>0.66900000000000004</v>
      </c>
      <c r="T16" s="34">
        <f>IF(Representantes_IV[[#This Row],[Cota HAEMO]]=0,"-",ROUNDUP(Representantes_IV[[#This Row],[Demanda HAEMO]]/Representantes_IV[[#This Row],[Cota HAEMO]],3))</f>
        <v>0.374</v>
      </c>
      <c r="U16" s="34" t="str">
        <f>IF(Representantes_IV[[#This Row],[Cota HIZENTRA]]=0,"-",ROUNDUP(Representantes_IV[[#This Row],[Demanda HIZENTRA]]/Representantes_IV[[#This Row],[Cota HIZENTRA]],3))</f>
        <v>-</v>
      </c>
      <c r="V16" s="34">
        <f>IF(Representantes_IV[[#This Row],[Cota PRIVIGEN]]=0,"-",ROUNDUP(Representantes_IV[[#This Row],[Demanda PRIVIGEN]]/Representantes_IV[[#This Row],[Cota PRIVIGEN]],3))</f>
        <v>1.0589999999999999</v>
      </c>
      <c r="W16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6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6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6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6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398.27080000000001</v>
      </c>
      <c r="AB16" s="55">
        <f>SUMIFS(Cota_Demanda[%-Garantido],Cota_Demanda['#FK-Email-Representante],Representantes_IV[[#This Row],['#PK-Email-Representante]],Cota_Demanda['#FK-Cod-Linha],AB$1)</f>
        <v>0</v>
      </c>
      <c r="AC16" s="55">
        <f>SUMIFS(Cota_Demanda[%-Garantido],Cota_Demanda['#FK-Email-Representante],Representantes_IV[[#This Row],['#PK-Email-Representante]],Cota_Demanda['#FK-Cod-Linha],AC$1)</f>
        <v>0</v>
      </c>
      <c r="AD16" s="55">
        <f>SUMIFS(Cota_Demanda[%-Garantido],Cota_Demanda['#FK-Email-Representante],Representantes_IV[[#This Row],['#PK-Email-Representante]],Cota_Demanda['#FK-Cod-Linha],AD$1)</f>
        <v>0</v>
      </c>
      <c r="AE16" s="55">
        <f>SUMIFS(Cota_Demanda[%-Garantido],Cota_Demanda['#FK-Email-Representante],Representantes_IV[[#This Row],['#PK-Email-Representante]],Cota_Demanda['#FK-Cod-Linha],AE$1)</f>
        <v>0</v>
      </c>
      <c r="AF16" s="55">
        <f>SUMIFS(Cota_Demanda[%-Garantido],Cota_Demanda['#FK-Email-Representante],Representantes_IV[[#This Row],['#PK-Email-Representante]],Cota_Demanda['#FK-Cod-Linha],AF$1)</f>
        <v>0</v>
      </c>
      <c r="AG16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6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6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6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6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6" s="54">
        <f>IF(Representantes_IV[[#This Row],[Garatido BERINERT]]&gt;Representantes_IV[[#This Row],[Valor BERINERT]],Representantes_IV[[#This Row],[Garatido BERINERT]],Representantes_IV[[#This Row],[Valor BERINERT]])</f>
        <v>0</v>
      </c>
      <c r="AM16" s="54">
        <f>IF(Representantes_IV[[#This Row],[Garantido BERIPLEX]]&gt;Representantes_IV[[#This Row],[Valor BERIPLEX]],Representantes_IV[[#This Row],[Garantido BERIPLEX]],Representantes_IV[[#This Row],[Valor BERIPLEX]])</f>
        <v>0</v>
      </c>
      <c r="AN16" s="54">
        <f>IF(Representantes_IV[[#This Row],[Garantido HAEMO]]&gt;Representantes_IV[[#This Row],[Valor HAEMO]],Representantes_IV[[#This Row],[Garantido HAEMO]],Representantes_IV[[#This Row],[Valor HAEMO]])</f>
        <v>0</v>
      </c>
      <c r="AO16" s="54">
        <f>IF(Representantes_IV[[#This Row],[Garantido HIZENTRA]]&gt;Representantes_IV[[#This Row],[Valor HIZENTRA]],Representantes_IV[[#This Row],[Garantido HIZENTRA]],Representantes_IV[[#This Row],[Valor HIZENTRA]])</f>
        <v>0</v>
      </c>
      <c r="AP16" s="54">
        <f>IF(Representantes_IV[[#This Row],[Garantido PRIVIGEN]]&gt;Representantes_IV[[#This Row],[Valor PRIVIGEN]],Representantes_IV[[#This Row],[Garantido PRIVIGEN]],Representantes_IV[[#This Row],[Valor PRIVIGEN]])</f>
        <v>398.27080000000001</v>
      </c>
      <c r="AQ16" s="54">
        <f>SUM(Cota_Venda[Cota-Venda])</f>
        <v>24875647.060000017</v>
      </c>
      <c r="AR16" s="54">
        <f>SUMIFS(Venda[Venda-IV],Venda[@-Ministerio],FALSE)</f>
        <v>30797896.699999992</v>
      </c>
      <c r="AS16" s="34">
        <f>ROUNDUP(IFERROR(Representantes_IV[[#This Row],[Venda]]/Representantes_IV[[#This Row],[Cota Venda]],0),3)</f>
        <v>1.2389999999999999</v>
      </c>
      <c r="AT16" s="54">
        <f>VLOOKUP(Representantes_IV[[#This Row],[Cobertura Venda]],Valores_Representantes_ESP[],AT$1,1)</f>
        <v>631.32569999999998</v>
      </c>
      <c r="AU16" s="29">
        <f>SUMIFS(Visitas_Outros[Visitas-Meta],Visitas_Outros['#FK-Email-Representante],Representantes_IV[[#This Row],['#PK-Email-Representante]])</f>
        <v>92</v>
      </c>
      <c r="AV16" s="29">
        <f>SUMIFS(Visitas_Outros[Visitas-Realizadas],Visitas_Outros['#FK-Email-Representante],Representantes_IV[[#This Row],['#PK-Email-Representante]])</f>
        <v>138</v>
      </c>
      <c r="AW16" s="34">
        <f>ROUNDUP(IFERROR(Representantes_IV[[#This Row],[Visitas]]/Representantes_IV[[#This Row],[Meta Visitas]],0),3)</f>
        <v>1.5</v>
      </c>
      <c r="AX16" s="53">
        <f>IF(Representantes_IV[[#This Row],[Cobertura Visitas]]&lt;Cobertura_Minima_REP,0,VLOOKUP(Representantes_IV[[#This Row],[Cobertura Visitas]],Valores_Representantes_ESP[],AX$1,1))</f>
        <v>1559.1016</v>
      </c>
      <c r="AY16" s="33">
        <f>SUMIFS(Visitas_Outros[%Realizado-Connect-Mind],Visitas_Outros['#FK-Email-Representante],Representantes_IV[[#This Row],['#PK-Email-Representante]])</f>
        <v>1</v>
      </c>
      <c r="AZ16" s="53">
        <f>IF(Representantes_IV[[#This Row],[Cobertura Connect Mind]]&lt;Cobertura_Minima_REP,0,VLOOKUP(Representantes_IV[[#This Row],[Cobertura Connect Mind]],Valores_Representantes_ESP[],AZ$1,1))</f>
        <v>376.08229999999998</v>
      </c>
      <c r="BA16" s="33">
        <f>SUMIFS(Visitas_Outros[%Realizado-Aval-GR],Visitas_Outros['#FK-Email-Representante],Representantes_IV[[#This Row],['#PK-Email-Representante]])</f>
        <v>1</v>
      </c>
      <c r="BB16" s="53">
        <f>IF(Representantes_IV[[#This Row],[Cobertura Gerente Conta]]&lt;Cobertura_Minima_REP,0,VLOOKUP(Representantes_IV[[#This Row],[Cobertura Gerente Conta]],Valores_Representantes_ESP[],BB$1,1))</f>
        <v>1128.2470000000001</v>
      </c>
      <c r="BC16" s="33">
        <f>SUMIFS(Visitas_Outros[%Realizado-Plateau],Visitas_Outros['#FK-Email-Representante],Representantes_IV[[#This Row],['#PK-Email-Representante]])</f>
        <v>1</v>
      </c>
      <c r="BD16" s="53">
        <f>IF(Representantes_IV[[#This Row],[Cobertura Plateau]]&lt;Cobertura_Minima_REP,0,VLOOKUP(Representantes_IV[[#This Row],[Cobertura Plateau]],Valores_Representantes_ESP[],BD$1,1))</f>
        <v>376.08229999999998</v>
      </c>
      <c r="BE16" s="33">
        <f>SUMIFS(Visitas_Outros[%Realizado-Compliance],Visitas_Outros['#FK-Email-Representante],Representantes_IV[[#This Row],['#PK-Email-Representante]])</f>
        <v>1</v>
      </c>
      <c r="BF16" s="53">
        <f>IF(Representantes_IV[[#This Row],[Cobertura Compliance]]&lt;Cobertura_Minima_REP,0,VLOOKUP(Representantes_IV[[#This Row],[Cobertura Compliance]],Valores_Representantes_ESP[],BF$1,1))</f>
        <v>376.08229999999998</v>
      </c>
      <c r="BG16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4845.192</v>
      </c>
    </row>
    <row r="17" spans="1:59" x14ac:dyDescent="0.25">
      <c r="A17" s="9" t="s">
        <v>129</v>
      </c>
      <c r="B17" s="9" t="s">
        <v>35</v>
      </c>
      <c r="C17" s="46" t="b">
        <v>1</v>
      </c>
      <c r="D17" s="46" t="b">
        <v>1</v>
      </c>
      <c r="E17" s="46" t="b">
        <v>0</v>
      </c>
      <c r="F17" s="46" t="b">
        <v>0</v>
      </c>
      <c r="G17" s="5" t="str">
        <f>IF(COUNTIF(Representantes_IV[[#This Row],[@-HSP]:[@-EMH]],TRUE)&lt;&gt;1,"Erro","OK")</f>
        <v>OK</v>
      </c>
      <c r="H17" s="29">
        <f>SUMIFS(Demanda_IV_REP[Demanda-IV],Demanda_IV_REP['#FK-Email-Representante],Representantes_IV[[#This Row],['#PK-Email-Representante]],Demanda_IV_REP['#FK-Cod-Linha],H$1)</f>
        <v>20</v>
      </c>
      <c r="I17" s="29">
        <f>SUMIFS(Demanda_IV_REP[Demanda-IV],Demanda_IV_REP['#FK-Email-Representante],Representantes_IV[[#This Row],['#PK-Email-Representante]],Demanda_IV_REP['#FK-Cod-Linha],I$1)</f>
        <v>64</v>
      </c>
      <c r="J17" s="29">
        <f>SUMIFS(Demanda_IV_REP[Demanda-IV],Demanda_IV_REP['#FK-Email-Representante],Representantes_IV[[#This Row],['#PK-Email-Representante]],Demanda_IV_REP['#FK-Cod-Linha],J$1)</f>
        <v>0</v>
      </c>
      <c r="K17" s="29">
        <f>SUMIFS(Demanda_IV_REP[Demanda-IV],Demanda_IV_REP['#FK-Email-Representante],Representantes_IV[[#This Row],['#PK-Email-Representante]],Demanda_IV_REP['#FK-Cod-Linha],K$1)</f>
        <v>168</v>
      </c>
      <c r="L17" s="29">
        <f>SUMIFS(Demanda_IV_REP[Demanda-IV],Demanda_IV_REP['#FK-Email-Representante],Representantes_IV[[#This Row],['#PK-Email-Representante]],Demanda_IV_REP['#FK-Cod-Linha],L$1)</f>
        <v>315</v>
      </c>
      <c r="M17" s="29">
        <f>SUMIFS(Cota_Demanda[Cota-Representante],Cota_Demanda['#FK-Email-Representante],Representantes_IV[[#This Row],['#PK-Email-Representante]],Cota_Demanda['#FK-Cod-Linha],M$1)</f>
        <v>0</v>
      </c>
      <c r="N17" s="29">
        <f>SUMIFS(Cota_Demanda[Cota-Representante],Cota_Demanda['#FK-Email-Representante],Representantes_IV[[#This Row],['#PK-Email-Representante]],Cota_Demanda['#FK-Cod-Linha],N$1)</f>
        <v>258</v>
      </c>
      <c r="O17" s="29">
        <f>SUMIFS(Cota_Demanda[Cota-Representante],Cota_Demanda['#FK-Email-Representante],Representantes_IV[[#This Row],['#PK-Email-Representante]],Cota_Demanda['#FK-Cod-Linha],O$1)</f>
        <v>63</v>
      </c>
      <c r="P17" s="29">
        <f>SUMIFS(Cota_Demanda[Cota-Representante],Cota_Demanda['#FK-Email-Representante],Representantes_IV[[#This Row],['#PK-Email-Representante]],Cota_Demanda['#FK-Cod-Linha],P$1)</f>
        <v>0</v>
      </c>
      <c r="Q17" s="29">
        <f>SUMIFS(Cota_Demanda[Cota-Representante],Cota_Demanda['#FK-Email-Representante],Representantes_IV[[#This Row],['#PK-Email-Representante]],Cota_Demanda['#FK-Cod-Linha],Q$1)</f>
        <v>2040.5</v>
      </c>
      <c r="R17" s="34" t="str">
        <f>IF(Representantes_IV[[#This Row],[Cota BERINERT]]=0,"-",ROUNDUP(Representantes_IV[[#This Row],[Demanda BERINERT]]/Representantes_IV[[#This Row],[Cota BERINERT]],3))</f>
        <v>-</v>
      </c>
      <c r="S17" s="34">
        <f>IF(Representantes_IV[[#This Row],[Cota BERIPLEX]]=0,"-",ROUNDUP(Representantes_IV[[#This Row],[Demanda BERIPLEX]]/Representantes_IV[[#This Row],[Cota BERIPLEX]],3))</f>
        <v>0.249</v>
      </c>
      <c r="T17" s="34">
        <f>IF(Representantes_IV[[#This Row],[Cota HAEMO]]=0,"-",ROUNDUP(Representantes_IV[[#This Row],[Demanda HAEMO]]/Representantes_IV[[#This Row],[Cota HAEMO]],3))</f>
        <v>0</v>
      </c>
      <c r="U17" s="34" t="str">
        <f>IF(Representantes_IV[[#This Row],[Cota HIZENTRA]]=0,"-",ROUNDUP(Representantes_IV[[#This Row],[Demanda HIZENTRA]]/Representantes_IV[[#This Row],[Cota HIZENTRA]],3))</f>
        <v>-</v>
      </c>
      <c r="V17" s="34">
        <f>IF(Representantes_IV[[#This Row],[Cota PRIVIGEN]]=0,"-",ROUNDUP(Representantes_IV[[#This Row],[Demanda PRIVIGEN]]/Representantes_IV[[#This Row],[Cota PRIVIGEN]],3))</f>
        <v>0.155</v>
      </c>
      <c r="W17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7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7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7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7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17" s="55">
        <f>SUMIFS(Cota_Demanda[%-Garantido],Cota_Demanda['#FK-Email-Representante],Representantes_IV[[#This Row],['#PK-Email-Representante]],Cota_Demanda['#FK-Cod-Linha],AB$1)</f>
        <v>0</v>
      </c>
      <c r="AC17" s="55">
        <f>SUMIFS(Cota_Demanda[%-Garantido],Cota_Demanda['#FK-Email-Representante],Representantes_IV[[#This Row],['#PK-Email-Representante]],Cota_Demanda['#FK-Cod-Linha],AC$1)</f>
        <v>0</v>
      </c>
      <c r="AD17" s="55">
        <f>SUMIFS(Cota_Demanda[%-Garantido],Cota_Demanda['#FK-Email-Representante],Representantes_IV[[#This Row],['#PK-Email-Representante]],Cota_Demanda['#FK-Cod-Linha],AD$1)</f>
        <v>0</v>
      </c>
      <c r="AE17" s="55">
        <f>SUMIFS(Cota_Demanda[%-Garantido],Cota_Demanda['#FK-Email-Representante],Representantes_IV[[#This Row],['#PK-Email-Representante]],Cota_Demanda['#FK-Cod-Linha],AE$1)</f>
        <v>0</v>
      </c>
      <c r="AF17" s="55">
        <f>SUMIFS(Cota_Demanda[%-Garantido],Cota_Demanda['#FK-Email-Representante],Representantes_IV[[#This Row],['#PK-Email-Representante]],Cota_Demanda['#FK-Cod-Linha],AF$1)</f>
        <v>0</v>
      </c>
      <c r="AG17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7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7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7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7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7" s="54">
        <f>IF(Representantes_IV[[#This Row],[Garatido BERINERT]]&gt;Representantes_IV[[#This Row],[Valor BERINERT]],Representantes_IV[[#This Row],[Garatido BERINERT]],Representantes_IV[[#This Row],[Valor BERINERT]])</f>
        <v>0</v>
      </c>
      <c r="AM17" s="54">
        <f>IF(Representantes_IV[[#This Row],[Garantido BERIPLEX]]&gt;Representantes_IV[[#This Row],[Valor BERIPLEX]],Representantes_IV[[#This Row],[Garantido BERIPLEX]],Representantes_IV[[#This Row],[Valor BERIPLEX]])</f>
        <v>0</v>
      </c>
      <c r="AN17" s="54">
        <f>IF(Representantes_IV[[#This Row],[Garantido HAEMO]]&gt;Representantes_IV[[#This Row],[Valor HAEMO]],Representantes_IV[[#This Row],[Garantido HAEMO]],Representantes_IV[[#This Row],[Valor HAEMO]])</f>
        <v>0</v>
      </c>
      <c r="AO17" s="54">
        <f>IF(Representantes_IV[[#This Row],[Garantido HIZENTRA]]&gt;Representantes_IV[[#This Row],[Valor HIZENTRA]],Representantes_IV[[#This Row],[Garantido HIZENTRA]],Representantes_IV[[#This Row],[Valor HIZENTRA]])</f>
        <v>0</v>
      </c>
      <c r="AP17" s="54">
        <f>IF(Representantes_IV[[#This Row],[Garantido PRIVIGEN]]&gt;Representantes_IV[[#This Row],[Valor PRIVIGEN]],Representantes_IV[[#This Row],[Garantido PRIVIGEN]],Representantes_IV[[#This Row],[Valor PRIVIGEN]])</f>
        <v>0</v>
      </c>
      <c r="AQ17" s="54">
        <f>SUM(Cota_Venda[Cota-Venda])</f>
        <v>24875647.060000017</v>
      </c>
      <c r="AR17" s="54">
        <f>SUMIFS(Venda[Venda-IV],Venda[@-Ministerio],FALSE)</f>
        <v>30797896.699999992</v>
      </c>
      <c r="AS17" s="34">
        <f>ROUNDUP(IFERROR(Representantes_IV[[#This Row],[Venda]]/Representantes_IV[[#This Row],[Cota Venda]],0),3)</f>
        <v>1.2389999999999999</v>
      </c>
      <c r="AT17" s="54">
        <f>VLOOKUP(Representantes_IV[[#This Row],[Cobertura Venda]],Valores_Representantes_ESP[],AT$1,1)</f>
        <v>631.32569999999998</v>
      </c>
      <c r="AU17" s="29">
        <f>SUMIFS(Visitas_Outros[Visitas-Meta],Visitas_Outros['#FK-Email-Representante],Representantes_IV[[#This Row],['#PK-Email-Representante]])</f>
        <v>92</v>
      </c>
      <c r="AV17" s="29">
        <f>SUMIFS(Visitas_Outros[Visitas-Realizadas],Visitas_Outros['#FK-Email-Representante],Representantes_IV[[#This Row],['#PK-Email-Representante]])</f>
        <v>125</v>
      </c>
      <c r="AW17" s="34">
        <f>ROUNDUP(IFERROR(Representantes_IV[[#This Row],[Visitas]]/Representantes_IV[[#This Row],[Meta Visitas]],0),3)</f>
        <v>1.359</v>
      </c>
      <c r="AX17" s="53">
        <f>IF(Representantes_IV[[#This Row],[Cobertura Visitas]]&lt;Cobertura_Minima_REP,0,VLOOKUP(Representantes_IV[[#This Row],[Cobertura Visitas]],Valores_Representantes_ESP[],AX$1,1))</f>
        <v>1394.8893</v>
      </c>
      <c r="AY17" s="33">
        <f>SUMIFS(Visitas_Outros[%Realizado-Connect-Mind],Visitas_Outros['#FK-Email-Representante],Representantes_IV[[#This Row],['#PK-Email-Representante]])</f>
        <v>1</v>
      </c>
      <c r="AZ17" s="53">
        <f>IF(Representantes_IV[[#This Row],[Cobertura Connect Mind]]&lt;Cobertura_Minima_REP,0,VLOOKUP(Representantes_IV[[#This Row],[Cobertura Connect Mind]],Valores_Representantes_ESP[],AZ$1,1))</f>
        <v>376.08229999999998</v>
      </c>
      <c r="BA17" s="33">
        <f>SUMIFS(Visitas_Outros[%Realizado-Aval-GR],Visitas_Outros['#FK-Email-Representante],Representantes_IV[[#This Row],['#PK-Email-Representante]])</f>
        <v>1</v>
      </c>
      <c r="BB17" s="53">
        <f>IF(Representantes_IV[[#This Row],[Cobertura Gerente Conta]]&lt;Cobertura_Minima_REP,0,VLOOKUP(Representantes_IV[[#This Row],[Cobertura Gerente Conta]],Valores_Representantes_ESP[],BB$1,1))</f>
        <v>1128.2470000000001</v>
      </c>
      <c r="BC17" s="33">
        <f>SUMIFS(Visitas_Outros[%Realizado-Plateau],Visitas_Outros['#FK-Email-Representante],Representantes_IV[[#This Row],['#PK-Email-Representante]])</f>
        <v>1</v>
      </c>
      <c r="BD17" s="53">
        <f>IF(Representantes_IV[[#This Row],[Cobertura Plateau]]&lt;Cobertura_Minima_REP,0,VLOOKUP(Representantes_IV[[#This Row],[Cobertura Plateau]],Valores_Representantes_ESP[],BD$1,1))</f>
        <v>376.08229999999998</v>
      </c>
      <c r="BE17" s="33">
        <f>SUMIFS(Visitas_Outros[%Realizado-Compliance],Visitas_Outros['#FK-Email-Representante],Representantes_IV[[#This Row],['#PK-Email-Representante]])</f>
        <v>1</v>
      </c>
      <c r="BF17" s="53">
        <f>IF(Representantes_IV[[#This Row],[Cobertura Compliance]]&lt;Cobertura_Minima_REP,0,VLOOKUP(Representantes_IV[[#This Row],[Cobertura Compliance]],Valores_Representantes_ESP[],BF$1,1))</f>
        <v>376.08229999999998</v>
      </c>
      <c r="BG17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4282.7089000000005</v>
      </c>
    </row>
    <row r="18" spans="1:59" x14ac:dyDescent="0.25">
      <c r="A18" s="9" t="s">
        <v>124</v>
      </c>
      <c r="B18" s="9" t="s">
        <v>36</v>
      </c>
      <c r="C18" s="46" t="b">
        <v>1</v>
      </c>
      <c r="D18" s="46" t="b">
        <v>1</v>
      </c>
      <c r="E18" s="46" t="b">
        <v>0</v>
      </c>
      <c r="F18" s="46" t="b">
        <v>0</v>
      </c>
      <c r="G18" s="5" t="str">
        <f>IF(COUNTIF(Representantes_IV[[#This Row],[@-HSP]:[@-EMH]],TRUE)&lt;&gt;1,"Erro","OK")</f>
        <v>OK</v>
      </c>
      <c r="H18" s="29">
        <f>SUMIFS(Demanda_IV_REP[Demanda-IV],Demanda_IV_REP['#FK-Email-Representante],Representantes_IV[[#This Row],['#PK-Email-Representante]],Demanda_IV_REP['#FK-Cod-Linha],H$1)</f>
        <v>1</v>
      </c>
      <c r="I18" s="29">
        <f>SUMIFS(Demanda_IV_REP[Demanda-IV],Demanda_IV_REP['#FK-Email-Representante],Representantes_IV[[#This Row],['#PK-Email-Representante]],Demanda_IV_REP['#FK-Cod-Linha],I$1)</f>
        <v>74</v>
      </c>
      <c r="J18" s="29">
        <f>SUMIFS(Demanda_IV_REP[Demanda-IV],Demanda_IV_REP['#FK-Email-Representante],Representantes_IV[[#This Row],['#PK-Email-Representante]],Demanda_IV_REP['#FK-Cod-Linha],J$1)</f>
        <v>83</v>
      </c>
      <c r="K18" s="29">
        <f>SUMIFS(Demanda_IV_REP[Demanda-IV],Demanda_IV_REP['#FK-Email-Representante],Representantes_IV[[#This Row],['#PK-Email-Representante]],Demanda_IV_REP['#FK-Cod-Linha],K$1)</f>
        <v>336</v>
      </c>
      <c r="L18" s="29">
        <f>SUMIFS(Demanda_IV_REP[Demanda-IV],Demanda_IV_REP['#FK-Email-Representante],Representantes_IV[[#This Row],['#PK-Email-Representante]],Demanda_IV_REP['#FK-Cod-Linha],L$1)</f>
        <v>2995</v>
      </c>
      <c r="M18" s="29">
        <f>SUMIFS(Cota_Demanda[Cota-Representante],Cota_Demanda['#FK-Email-Representante],Representantes_IV[[#This Row],['#PK-Email-Representante]],Cota_Demanda['#FK-Cod-Linha],M$1)</f>
        <v>0</v>
      </c>
      <c r="N18" s="29">
        <f>SUMIFS(Cota_Demanda[Cota-Representante],Cota_Demanda['#FK-Email-Representante],Representantes_IV[[#This Row],['#PK-Email-Representante]],Cota_Demanda['#FK-Cod-Linha],N$1)</f>
        <v>107.5</v>
      </c>
      <c r="O18" s="29">
        <f>SUMIFS(Cota_Demanda[Cota-Representante],Cota_Demanda['#FK-Email-Representante],Representantes_IV[[#This Row],['#PK-Email-Representante]],Cota_Demanda['#FK-Cod-Linha],O$1)</f>
        <v>126</v>
      </c>
      <c r="P18" s="29">
        <f>SUMIFS(Cota_Demanda[Cota-Representante],Cota_Demanda['#FK-Email-Representante],Representantes_IV[[#This Row],['#PK-Email-Representante]],Cota_Demanda['#FK-Cod-Linha],P$1)</f>
        <v>0</v>
      </c>
      <c r="Q18" s="29">
        <f>SUMIFS(Cota_Demanda[Cota-Representante],Cota_Demanda['#FK-Email-Representante],Representantes_IV[[#This Row],['#PK-Email-Representante]],Cota_Demanda['#FK-Cod-Linha],Q$1)</f>
        <v>4081</v>
      </c>
      <c r="R18" s="34" t="str">
        <f>IF(Representantes_IV[[#This Row],[Cota BERINERT]]=0,"-",ROUNDUP(Representantes_IV[[#This Row],[Demanda BERINERT]]/Representantes_IV[[#This Row],[Cota BERINERT]],3))</f>
        <v>-</v>
      </c>
      <c r="S18" s="34">
        <f>IF(Representantes_IV[[#This Row],[Cota BERIPLEX]]=0,"-",ROUNDUP(Representantes_IV[[#This Row],[Demanda BERIPLEX]]/Representantes_IV[[#This Row],[Cota BERIPLEX]],3))</f>
        <v>0.68899999999999995</v>
      </c>
      <c r="T18" s="34">
        <f>IF(Representantes_IV[[#This Row],[Cota HAEMO]]=0,"-",ROUNDUP(Representantes_IV[[#This Row],[Demanda HAEMO]]/Representantes_IV[[#This Row],[Cota HAEMO]],3))</f>
        <v>0.65900000000000003</v>
      </c>
      <c r="U18" s="34" t="str">
        <f>IF(Representantes_IV[[#This Row],[Cota HIZENTRA]]=0,"-",ROUNDUP(Representantes_IV[[#This Row],[Demanda HIZENTRA]]/Representantes_IV[[#This Row],[Cota HIZENTRA]],3))</f>
        <v>-</v>
      </c>
      <c r="V18" s="34">
        <f>IF(Representantes_IV[[#This Row],[Cota PRIVIGEN]]=0,"-",ROUNDUP(Representantes_IV[[#This Row],[Demanda PRIVIGEN]]/Representantes_IV[[#This Row],[Cota PRIVIGEN]],3))</f>
        <v>0.73399999999999999</v>
      </c>
      <c r="W18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8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8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8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8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18" s="55">
        <f>SUMIFS(Cota_Demanda[%-Garantido],Cota_Demanda['#FK-Email-Representante],Representantes_IV[[#This Row],['#PK-Email-Representante]],Cota_Demanda['#FK-Cod-Linha],AB$1)</f>
        <v>0</v>
      </c>
      <c r="AC18" s="55">
        <f>SUMIFS(Cota_Demanda[%-Garantido],Cota_Demanda['#FK-Email-Representante],Representantes_IV[[#This Row],['#PK-Email-Representante]],Cota_Demanda['#FK-Cod-Linha],AC$1)</f>
        <v>0</v>
      </c>
      <c r="AD18" s="55">
        <f>SUMIFS(Cota_Demanda[%-Garantido],Cota_Demanda['#FK-Email-Representante],Representantes_IV[[#This Row],['#PK-Email-Representante]],Cota_Demanda['#FK-Cod-Linha],AD$1)</f>
        <v>0</v>
      </c>
      <c r="AE18" s="55">
        <f>SUMIFS(Cota_Demanda[%-Garantido],Cota_Demanda['#FK-Email-Representante],Representantes_IV[[#This Row],['#PK-Email-Representante]],Cota_Demanda['#FK-Cod-Linha],AE$1)</f>
        <v>0</v>
      </c>
      <c r="AF18" s="55">
        <f>SUMIFS(Cota_Demanda[%-Garantido],Cota_Demanda['#FK-Email-Representante],Representantes_IV[[#This Row],['#PK-Email-Representante]],Cota_Demanda['#FK-Cod-Linha],AF$1)</f>
        <v>0</v>
      </c>
      <c r="AG18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8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8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8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8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8" s="54">
        <f>IF(Representantes_IV[[#This Row],[Garatido BERINERT]]&gt;Representantes_IV[[#This Row],[Valor BERINERT]],Representantes_IV[[#This Row],[Garatido BERINERT]],Representantes_IV[[#This Row],[Valor BERINERT]])</f>
        <v>0</v>
      </c>
      <c r="AM18" s="54">
        <f>IF(Representantes_IV[[#This Row],[Garantido BERIPLEX]]&gt;Representantes_IV[[#This Row],[Valor BERIPLEX]],Representantes_IV[[#This Row],[Garantido BERIPLEX]],Representantes_IV[[#This Row],[Valor BERIPLEX]])</f>
        <v>0</v>
      </c>
      <c r="AN18" s="54">
        <f>IF(Representantes_IV[[#This Row],[Garantido HAEMO]]&gt;Representantes_IV[[#This Row],[Valor HAEMO]],Representantes_IV[[#This Row],[Garantido HAEMO]],Representantes_IV[[#This Row],[Valor HAEMO]])</f>
        <v>0</v>
      </c>
      <c r="AO18" s="54">
        <f>IF(Representantes_IV[[#This Row],[Garantido HIZENTRA]]&gt;Representantes_IV[[#This Row],[Valor HIZENTRA]],Representantes_IV[[#This Row],[Garantido HIZENTRA]],Representantes_IV[[#This Row],[Valor HIZENTRA]])</f>
        <v>0</v>
      </c>
      <c r="AP18" s="54">
        <f>IF(Representantes_IV[[#This Row],[Garantido PRIVIGEN]]&gt;Representantes_IV[[#This Row],[Valor PRIVIGEN]],Representantes_IV[[#This Row],[Garantido PRIVIGEN]],Representantes_IV[[#This Row],[Valor PRIVIGEN]])</f>
        <v>0</v>
      </c>
      <c r="AQ18" s="54">
        <f>SUM(Cota_Venda[Cota-Venda])</f>
        <v>24875647.060000017</v>
      </c>
      <c r="AR18" s="54">
        <f>SUMIFS(Venda[Venda-IV],Venda[@-Ministerio],FALSE)</f>
        <v>30797896.699999992</v>
      </c>
      <c r="AS18" s="34">
        <f>ROUNDUP(IFERROR(Representantes_IV[[#This Row],[Venda]]/Representantes_IV[[#This Row],[Cota Venda]],0),3)</f>
        <v>1.2389999999999999</v>
      </c>
      <c r="AT18" s="54">
        <f>VLOOKUP(Representantes_IV[[#This Row],[Cobertura Venda]],Valores_Representantes_ESP[],AT$1,1)</f>
        <v>631.32569999999998</v>
      </c>
      <c r="AU18" s="29">
        <f>SUMIFS(Visitas_Outros[Visitas-Meta],Visitas_Outros['#FK-Email-Representante],Representantes_IV[[#This Row],['#PK-Email-Representante]])</f>
        <v>92</v>
      </c>
      <c r="AV18" s="29">
        <f>SUMIFS(Visitas_Outros[Visitas-Realizadas],Visitas_Outros['#FK-Email-Representante],Representantes_IV[[#This Row],['#PK-Email-Representante]])</f>
        <v>136</v>
      </c>
      <c r="AW18" s="34">
        <f>ROUNDUP(IFERROR(Representantes_IV[[#This Row],[Visitas]]/Representantes_IV[[#This Row],[Meta Visitas]],0),3)</f>
        <v>1.4789999999999999</v>
      </c>
      <c r="AX18" s="53">
        <f>IF(Representantes_IV[[#This Row],[Cobertura Visitas]]&lt;Cobertura_Minima_REP,0,VLOOKUP(Representantes_IV[[#This Row],[Cobertura Visitas]],Valores_Representantes_ESP[],AX$1,1))</f>
        <v>1526.6333999999999</v>
      </c>
      <c r="AY18" s="33">
        <f>SUMIFS(Visitas_Outros[%Realizado-Connect-Mind],Visitas_Outros['#FK-Email-Representante],Representantes_IV[[#This Row],['#PK-Email-Representante]])</f>
        <v>1</v>
      </c>
      <c r="AZ18" s="53">
        <f>IF(Representantes_IV[[#This Row],[Cobertura Connect Mind]]&lt;Cobertura_Minima_REP,0,VLOOKUP(Representantes_IV[[#This Row],[Cobertura Connect Mind]],Valores_Representantes_ESP[],AZ$1,1))</f>
        <v>376.08229999999998</v>
      </c>
      <c r="BA18" s="33">
        <f>SUMIFS(Visitas_Outros[%Realizado-Aval-GR],Visitas_Outros['#FK-Email-Representante],Representantes_IV[[#This Row],['#PK-Email-Representante]])</f>
        <v>1</v>
      </c>
      <c r="BB18" s="53">
        <f>IF(Representantes_IV[[#This Row],[Cobertura Gerente Conta]]&lt;Cobertura_Minima_REP,0,VLOOKUP(Representantes_IV[[#This Row],[Cobertura Gerente Conta]],Valores_Representantes_ESP[],BB$1,1))</f>
        <v>1128.2470000000001</v>
      </c>
      <c r="BC18" s="33">
        <f>SUMIFS(Visitas_Outros[%Realizado-Plateau],Visitas_Outros['#FK-Email-Representante],Representantes_IV[[#This Row],['#PK-Email-Representante]])</f>
        <v>1</v>
      </c>
      <c r="BD18" s="53">
        <f>IF(Representantes_IV[[#This Row],[Cobertura Plateau]]&lt;Cobertura_Minima_REP,0,VLOOKUP(Representantes_IV[[#This Row],[Cobertura Plateau]],Valores_Representantes_ESP[],BD$1,1))</f>
        <v>376.08229999999998</v>
      </c>
      <c r="BE18" s="33">
        <f>SUMIFS(Visitas_Outros[%Realizado-Compliance],Visitas_Outros['#FK-Email-Representante],Representantes_IV[[#This Row],['#PK-Email-Representante]])</f>
        <v>1</v>
      </c>
      <c r="BF18" s="53">
        <f>IF(Representantes_IV[[#This Row],[Cobertura Compliance]]&lt;Cobertura_Minima_REP,0,VLOOKUP(Representantes_IV[[#This Row],[Cobertura Compliance]],Valores_Representantes_ESP[],BF$1,1))</f>
        <v>376.08229999999998</v>
      </c>
      <c r="BG18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4414.4530000000004</v>
      </c>
    </row>
    <row r="19" spans="1:59" x14ac:dyDescent="0.25">
      <c r="A19" s="9" t="s">
        <v>127</v>
      </c>
      <c r="B19" s="9" t="s">
        <v>39</v>
      </c>
      <c r="C19" s="46" t="b">
        <v>1</v>
      </c>
      <c r="D19" s="46" t="b">
        <v>1</v>
      </c>
      <c r="E19" s="46" t="b">
        <v>0</v>
      </c>
      <c r="F19" s="46" t="b">
        <v>0</v>
      </c>
      <c r="G19" s="5" t="str">
        <f>IF(COUNTIF(Representantes_IV[[#This Row],[@-HSP]:[@-EMH]],TRUE)&lt;&gt;1,"Erro","OK")</f>
        <v>OK</v>
      </c>
      <c r="H19" s="29">
        <f>SUMIFS(Demanda_IV_REP[Demanda-IV],Demanda_IV_REP['#FK-Email-Representante],Representantes_IV[[#This Row],['#PK-Email-Representante]],Demanda_IV_REP['#FK-Cod-Linha],H$1)</f>
        <v>0</v>
      </c>
      <c r="I19" s="29">
        <f>SUMIFS(Demanda_IV_REP[Demanda-IV],Demanda_IV_REP['#FK-Email-Representante],Representantes_IV[[#This Row],['#PK-Email-Representante]],Demanda_IV_REP['#FK-Cod-Linha],I$1)</f>
        <v>235</v>
      </c>
      <c r="J19" s="29">
        <f>SUMIFS(Demanda_IV_REP[Demanda-IV],Demanda_IV_REP['#FK-Email-Representante],Representantes_IV[[#This Row],['#PK-Email-Representante]],Demanda_IV_REP['#FK-Cod-Linha],J$1)</f>
        <v>148</v>
      </c>
      <c r="K19" s="29">
        <f>SUMIFS(Demanda_IV_REP[Demanda-IV],Demanda_IV_REP['#FK-Email-Representante],Representantes_IV[[#This Row],['#PK-Email-Representante]],Demanda_IV_REP['#FK-Cod-Linha],K$1)</f>
        <v>881</v>
      </c>
      <c r="L19" s="29">
        <f>SUMIFS(Demanda_IV_REP[Demanda-IV],Demanda_IV_REP['#FK-Email-Representante],Representantes_IV[[#This Row],['#PK-Email-Representante]],Demanda_IV_REP['#FK-Cod-Linha],L$1)</f>
        <v>2440</v>
      </c>
      <c r="M19" s="29">
        <f>SUMIFS(Cota_Demanda[Cota-Representante],Cota_Demanda['#FK-Email-Representante],Representantes_IV[[#This Row],['#PK-Email-Representante]],Cota_Demanda['#FK-Cod-Linha],M$1)</f>
        <v>0</v>
      </c>
      <c r="N19" s="29">
        <f>SUMIFS(Cota_Demanda[Cota-Representante],Cota_Demanda['#FK-Email-Representante],Representantes_IV[[#This Row],['#PK-Email-Representante]],Cota_Demanda['#FK-Cod-Linha],N$1)</f>
        <v>236.5</v>
      </c>
      <c r="O19" s="29">
        <f>SUMIFS(Cota_Demanda[Cota-Representante],Cota_Demanda['#FK-Email-Representante],Representantes_IV[[#This Row],['#PK-Email-Representante]],Cota_Demanda['#FK-Cod-Linha],O$1)</f>
        <v>252</v>
      </c>
      <c r="P19" s="29">
        <f>SUMIFS(Cota_Demanda[Cota-Representante],Cota_Demanda['#FK-Email-Representante],Representantes_IV[[#This Row],['#PK-Email-Representante]],Cota_Demanda['#FK-Cod-Linha],P$1)</f>
        <v>0</v>
      </c>
      <c r="Q19" s="29">
        <f>SUMIFS(Cota_Demanda[Cota-Representante],Cota_Demanda['#FK-Email-Representante],Representantes_IV[[#This Row],['#PK-Email-Representante]],Cota_Demanda['#FK-Cod-Linha],Q$1)</f>
        <v>6121.5</v>
      </c>
      <c r="R19" s="34" t="str">
        <f>IF(Representantes_IV[[#This Row],[Cota BERINERT]]=0,"-",ROUNDUP(Representantes_IV[[#This Row],[Demanda BERINERT]]/Representantes_IV[[#This Row],[Cota BERINERT]],3))</f>
        <v>-</v>
      </c>
      <c r="S19" s="34">
        <f>IF(Representantes_IV[[#This Row],[Cota BERIPLEX]]=0,"-",ROUNDUP(Representantes_IV[[#This Row],[Demanda BERIPLEX]]/Representantes_IV[[#This Row],[Cota BERIPLEX]],3))</f>
        <v>0.99399999999999999</v>
      </c>
      <c r="T19" s="34">
        <f>IF(Representantes_IV[[#This Row],[Cota HAEMO]]=0,"-",ROUNDUP(Representantes_IV[[#This Row],[Demanda HAEMO]]/Representantes_IV[[#This Row],[Cota HAEMO]],3))</f>
        <v>0.58799999999999997</v>
      </c>
      <c r="U19" s="34" t="str">
        <f>IF(Representantes_IV[[#This Row],[Cota HIZENTRA]]=0,"-",ROUNDUP(Representantes_IV[[#This Row],[Demanda HIZENTRA]]/Representantes_IV[[#This Row],[Cota HIZENTRA]],3))</f>
        <v>-</v>
      </c>
      <c r="V19" s="34">
        <f>IF(Representantes_IV[[#This Row],[Cota PRIVIGEN]]=0,"-",ROUNDUP(Representantes_IV[[#This Row],[Demanda PRIVIGEN]]/Representantes_IV[[#This Row],[Cota PRIVIGEN]],3))</f>
        <v>0.39900000000000002</v>
      </c>
      <c r="W19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9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210.27699999999999</v>
      </c>
      <c r="Y19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9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9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19" s="55">
        <f>SUMIFS(Cota_Demanda[%-Garantido],Cota_Demanda['#FK-Email-Representante],Representantes_IV[[#This Row],['#PK-Email-Representante]],Cota_Demanda['#FK-Cod-Linha],AB$1)</f>
        <v>0</v>
      </c>
      <c r="AC19" s="55">
        <f>SUMIFS(Cota_Demanda[%-Garantido],Cota_Demanda['#FK-Email-Representante],Representantes_IV[[#This Row],['#PK-Email-Representante]],Cota_Demanda['#FK-Cod-Linha],AC$1)</f>
        <v>0</v>
      </c>
      <c r="AD19" s="55">
        <f>SUMIFS(Cota_Demanda[%-Garantido],Cota_Demanda['#FK-Email-Representante],Representantes_IV[[#This Row],['#PK-Email-Representante]],Cota_Demanda['#FK-Cod-Linha],AD$1)</f>
        <v>0</v>
      </c>
      <c r="AE19" s="55">
        <f>SUMIFS(Cota_Demanda[%-Garantido],Cota_Demanda['#FK-Email-Representante],Representantes_IV[[#This Row],['#PK-Email-Representante]],Cota_Demanda['#FK-Cod-Linha],AE$1)</f>
        <v>0</v>
      </c>
      <c r="AF19" s="55">
        <f>SUMIFS(Cota_Demanda[%-Garantido],Cota_Demanda['#FK-Email-Representante],Representantes_IV[[#This Row],['#PK-Email-Representante]],Cota_Demanda['#FK-Cod-Linha],AF$1)</f>
        <v>0</v>
      </c>
      <c r="AG19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9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9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9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9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9" s="54">
        <f>IF(Representantes_IV[[#This Row],[Garatido BERINERT]]&gt;Representantes_IV[[#This Row],[Valor BERINERT]],Representantes_IV[[#This Row],[Garatido BERINERT]],Representantes_IV[[#This Row],[Valor BERINERT]])</f>
        <v>0</v>
      </c>
      <c r="AM19" s="54">
        <f>IF(Representantes_IV[[#This Row],[Garantido BERIPLEX]]&gt;Representantes_IV[[#This Row],[Valor BERIPLEX]],Representantes_IV[[#This Row],[Garantido BERIPLEX]],Representantes_IV[[#This Row],[Valor BERIPLEX]])</f>
        <v>210.27699999999999</v>
      </c>
      <c r="AN19" s="54">
        <f>IF(Representantes_IV[[#This Row],[Garantido HAEMO]]&gt;Representantes_IV[[#This Row],[Valor HAEMO]],Representantes_IV[[#This Row],[Garantido HAEMO]],Representantes_IV[[#This Row],[Valor HAEMO]])</f>
        <v>0</v>
      </c>
      <c r="AO19" s="54">
        <f>IF(Representantes_IV[[#This Row],[Garantido HIZENTRA]]&gt;Representantes_IV[[#This Row],[Valor HIZENTRA]],Representantes_IV[[#This Row],[Garantido HIZENTRA]],Representantes_IV[[#This Row],[Valor HIZENTRA]])</f>
        <v>0</v>
      </c>
      <c r="AP19" s="54">
        <f>IF(Representantes_IV[[#This Row],[Garantido PRIVIGEN]]&gt;Representantes_IV[[#This Row],[Valor PRIVIGEN]],Representantes_IV[[#This Row],[Garantido PRIVIGEN]],Representantes_IV[[#This Row],[Valor PRIVIGEN]])</f>
        <v>0</v>
      </c>
      <c r="AQ19" s="54">
        <f>SUM(Cota_Venda[Cota-Venda])</f>
        <v>24875647.060000017</v>
      </c>
      <c r="AR19" s="54">
        <f>SUMIFS(Venda[Venda-IV],Venda[@-Ministerio],FALSE)</f>
        <v>30797896.699999992</v>
      </c>
      <c r="AS19" s="34">
        <f>ROUNDUP(IFERROR(Representantes_IV[[#This Row],[Venda]]/Representantes_IV[[#This Row],[Cota Venda]],0),3)</f>
        <v>1.2389999999999999</v>
      </c>
      <c r="AT19" s="54">
        <f>VLOOKUP(Representantes_IV[[#This Row],[Cobertura Venda]],Valores_Representantes_ESP[],AT$1,1)</f>
        <v>631.32569999999998</v>
      </c>
      <c r="AU19" s="29">
        <f>SUMIFS(Visitas_Outros[Visitas-Meta],Visitas_Outros['#FK-Email-Representante],Representantes_IV[[#This Row],['#PK-Email-Representante]])</f>
        <v>92</v>
      </c>
      <c r="AV19" s="29">
        <f>SUMIFS(Visitas_Outros[Visitas-Realizadas],Visitas_Outros['#FK-Email-Representante],Representantes_IV[[#This Row],['#PK-Email-Representante]])</f>
        <v>116</v>
      </c>
      <c r="AW19" s="34">
        <f>ROUNDUP(IFERROR(Representantes_IV[[#This Row],[Visitas]]/Representantes_IV[[#This Row],[Meta Visitas]],0),3)</f>
        <v>1.2609999999999999</v>
      </c>
      <c r="AX19" s="53">
        <f>IF(Representantes_IV[[#This Row],[Cobertura Visitas]]&lt;Cobertura_Minima_REP,0,VLOOKUP(Representantes_IV[[#This Row],[Cobertura Visitas]],Valores_Representantes_ESP[],AX$1,1))</f>
        <v>1286.1094000000001</v>
      </c>
      <c r="AY19" s="33">
        <f>SUMIFS(Visitas_Outros[%Realizado-Connect-Mind],Visitas_Outros['#FK-Email-Representante],Representantes_IV[[#This Row],['#PK-Email-Representante]])</f>
        <v>1</v>
      </c>
      <c r="AZ19" s="53">
        <f>IF(Representantes_IV[[#This Row],[Cobertura Connect Mind]]&lt;Cobertura_Minima_REP,0,VLOOKUP(Representantes_IV[[#This Row],[Cobertura Connect Mind]],Valores_Representantes_ESP[],AZ$1,1))</f>
        <v>376.08229999999998</v>
      </c>
      <c r="BA19" s="33">
        <f>SUMIFS(Visitas_Outros[%Realizado-Aval-GR],Visitas_Outros['#FK-Email-Representante],Representantes_IV[[#This Row],['#PK-Email-Representante]])</f>
        <v>1</v>
      </c>
      <c r="BB19" s="53">
        <f>IF(Representantes_IV[[#This Row],[Cobertura Gerente Conta]]&lt;Cobertura_Minima_REP,0,VLOOKUP(Representantes_IV[[#This Row],[Cobertura Gerente Conta]],Valores_Representantes_ESP[],BB$1,1))</f>
        <v>1128.2470000000001</v>
      </c>
      <c r="BC19" s="33">
        <f>SUMIFS(Visitas_Outros[%Realizado-Plateau],Visitas_Outros['#FK-Email-Representante],Representantes_IV[[#This Row],['#PK-Email-Representante]])</f>
        <v>1</v>
      </c>
      <c r="BD19" s="53">
        <f>IF(Representantes_IV[[#This Row],[Cobertura Plateau]]&lt;Cobertura_Minima_REP,0,VLOOKUP(Representantes_IV[[#This Row],[Cobertura Plateau]],Valores_Representantes_ESP[],BD$1,1))</f>
        <v>376.08229999999998</v>
      </c>
      <c r="BE19" s="33">
        <f>SUMIFS(Visitas_Outros[%Realizado-Compliance],Visitas_Outros['#FK-Email-Representante],Representantes_IV[[#This Row],['#PK-Email-Representante]])</f>
        <v>1</v>
      </c>
      <c r="BF19" s="53">
        <f>IF(Representantes_IV[[#This Row],[Cobertura Compliance]]&lt;Cobertura_Minima_REP,0,VLOOKUP(Representantes_IV[[#This Row],[Cobertura Compliance]],Valores_Representantes_ESP[],BF$1,1))</f>
        <v>376.08229999999998</v>
      </c>
      <c r="BG19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4384.2060000000001</v>
      </c>
    </row>
    <row r="20" spans="1:59" x14ac:dyDescent="0.25">
      <c r="A20" s="9" t="s">
        <v>113</v>
      </c>
      <c r="B20" s="9" t="s">
        <v>40</v>
      </c>
      <c r="C20" s="46" t="b">
        <v>1</v>
      </c>
      <c r="D20" s="46" t="b">
        <v>1</v>
      </c>
      <c r="E20" s="46" t="b">
        <v>0</v>
      </c>
      <c r="F20" s="46" t="b">
        <v>0</v>
      </c>
      <c r="G20" s="5" t="str">
        <f>IF(COUNTIF(Representantes_IV[[#This Row],[@-HSP]:[@-EMH]],TRUE)&lt;&gt;1,"Erro","OK")</f>
        <v>OK</v>
      </c>
      <c r="H20" s="29">
        <f>SUMIFS(Demanda_IV_REP[Demanda-IV],Demanda_IV_REP['#FK-Email-Representante],Representantes_IV[[#This Row],['#PK-Email-Representante]],Demanda_IV_REP['#FK-Cod-Linha],H$1)</f>
        <v>3</v>
      </c>
      <c r="I20" s="29">
        <f>SUMIFS(Demanda_IV_REP[Demanda-IV],Demanda_IV_REP['#FK-Email-Representante],Representantes_IV[[#This Row],['#PK-Email-Representante]],Demanda_IV_REP['#FK-Cod-Linha],I$1)</f>
        <v>116</v>
      </c>
      <c r="J20" s="29">
        <f>SUMIFS(Demanda_IV_REP[Demanda-IV],Demanda_IV_REP['#FK-Email-Representante],Representantes_IV[[#This Row],['#PK-Email-Representante]],Demanda_IV_REP['#FK-Cod-Linha],J$1)</f>
        <v>113</v>
      </c>
      <c r="K20" s="29">
        <f>SUMIFS(Demanda_IV_REP[Demanda-IV],Demanda_IV_REP['#FK-Email-Representante],Representantes_IV[[#This Row],['#PK-Email-Representante]],Demanda_IV_REP['#FK-Cod-Linha],K$1)</f>
        <v>359</v>
      </c>
      <c r="L20" s="29">
        <f>SUMIFS(Demanda_IV_REP[Demanda-IV],Demanda_IV_REP['#FK-Email-Representante],Representantes_IV[[#This Row],['#PK-Email-Representante]],Demanda_IV_REP['#FK-Cod-Linha],L$1)</f>
        <v>6940</v>
      </c>
      <c r="M20" s="29">
        <f>SUMIFS(Cota_Demanda[Cota-Representante],Cota_Demanda['#FK-Email-Representante],Representantes_IV[[#This Row],['#PK-Email-Representante]],Cota_Demanda['#FK-Cod-Linha],M$1)</f>
        <v>0</v>
      </c>
      <c r="N20" s="29">
        <f>SUMIFS(Cota_Demanda[Cota-Representante],Cota_Demanda['#FK-Email-Representante],Representantes_IV[[#This Row],['#PK-Email-Representante]],Cota_Demanda['#FK-Cod-Linha],N$1)</f>
        <v>215</v>
      </c>
      <c r="O20" s="29">
        <f>SUMIFS(Cota_Demanda[Cota-Representante],Cota_Demanda['#FK-Email-Representante],Representantes_IV[[#This Row],['#PK-Email-Representante]],Cota_Demanda['#FK-Cod-Linha],O$1)</f>
        <v>168</v>
      </c>
      <c r="P20" s="29">
        <f>SUMIFS(Cota_Demanda[Cota-Representante],Cota_Demanda['#FK-Email-Representante],Representantes_IV[[#This Row],['#PK-Email-Representante]],Cota_Demanda['#FK-Cod-Linha],P$1)</f>
        <v>0</v>
      </c>
      <c r="Q20" s="29">
        <f>SUMIFS(Cota_Demanda[Cota-Representante],Cota_Demanda['#FK-Email-Representante],Representantes_IV[[#This Row],['#PK-Email-Representante]],Cota_Demanda['#FK-Cod-Linha],Q$1)</f>
        <v>7481.83</v>
      </c>
      <c r="R20" s="34" t="str">
        <f>IF(Representantes_IV[[#This Row],[Cota BERINERT]]=0,"-",ROUNDUP(Representantes_IV[[#This Row],[Demanda BERINERT]]/Representantes_IV[[#This Row],[Cota BERINERT]],3))</f>
        <v>-</v>
      </c>
      <c r="S20" s="34">
        <f>IF(Representantes_IV[[#This Row],[Cota BERIPLEX]]=0,"-",ROUNDUP(Representantes_IV[[#This Row],[Demanda BERIPLEX]]/Representantes_IV[[#This Row],[Cota BERIPLEX]],3))</f>
        <v>0.54</v>
      </c>
      <c r="T20" s="34">
        <f>IF(Representantes_IV[[#This Row],[Cota HAEMO]]=0,"-",ROUNDUP(Representantes_IV[[#This Row],[Demanda HAEMO]]/Representantes_IV[[#This Row],[Cota HAEMO]],3))</f>
        <v>0.67300000000000004</v>
      </c>
      <c r="U20" s="34" t="str">
        <f>IF(Representantes_IV[[#This Row],[Cota HIZENTRA]]=0,"-",ROUNDUP(Representantes_IV[[#This Row],[Demanda HIZENTRA]]/Representantes_IV[[#This Row],[Cota HIZENTRA]],3))</f>
        <v>-</v>
      </c>
      <c r="V20" s="34">
        <f>IF(Representantes_IV[[#This Row],[Cota PRIVIGEN]]=0,"-",ROUNDUP(Representantes_IV[[#This Row],[Demanda PRIVIGEN]]/Representantes_IV[[#This Row],[Cota PRIVIGEN]],3))</f>
        <v>0.92800000000000005</v>
      </c>
      <c r="W20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0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0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0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20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261.75330000000002</v>
      </c>
      <c r="AB20" s="55">
        <f>SUMIFS(Cota_Demanda[%-Garantido],Cota_Demanda['#FK-Email-Representante],Representantes_IV[[#This Row],['#PK-Email-Representante]],Cota_Demanda['#FK-Cod-Linha],AB$1)</f>
        <v>0</v>
      </c>
      <c r="AC20" s="55">
        <f>SUMIFS(Cota_Demanda[%-Garantido],Cota_Demanda['#FK-Email-Representante],Representantes_IV[[#This Row],['#PK-Email-Representante]],Cota_Demanda['#FK-Cod-Linha],AC$1)</f>
        <v>0</v>
      </c>
      <c r="AD20" s="55">
        <f>SUMIFS(Cota_Demanda[%-Garantido],Cota_Demanda['#FK-Email-Representante],Representantes_IV[[#This Row],['#PK-Email-Representante]],Cota_Demanda['#FK-Cod-Linha],AD$1)</f>
        <v>0</v>
      </c>
      <c r="AE20" s="55">
        <f>SUMIFS(Cota_Demanda[%-Garantido],Cota_Demanda['#FK-Email-Representante],Representantes_IV[[#This Row],['#PK-Email-Representante]],Cota_Demanda['#FK-Cod-Linha],AE$1)</f>
        <v>0</v>
      </c>
      <c r="AF20" s="55">
        <f>SUMIFS(Cota_Demanda[%-Garantido],Cota_Demanda['#FK-Email-Representante],Representantes_IV[[#This Row],['#PK-Email-Representante]],Cota_Demanda['#FK-Cod-Linha],AF$1)</f>
        <v>0</v>
      </c>
      <c r="AG20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0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0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0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0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0" s="54">
        <f>IF(Representantes_IV[[#This Row],[Garatido BERINERT]]&gt;Representantes_IV[[#This Row],[Valor BERINERT]],Representantes_IV[[#This Row],[Garatido BERINERT]],Representantes_IV[[#This Row],[Valor BERINERT]])</f>
        <v>0</v>
      </c>
      <c r="AM20" s="54">
        <f>IF(Representantes_IV[[#This Row],[Garantido BERIPLEX]]&gt;Representantes_IV[[#This Row],[Valor BERIPLEX]],Representantes_IV[[#This Row],[Garantido BERIPLEX]],Representantes_IV[[#This Row],[Valor BERIPLEX]])</f>
        <v>0</v>
      </c>
      <c r="AN20" s="54">
        <f>IF(Representantes_IV[[#This Row],[Garantido HAEMO]]&gt;Representantes_IV[[#This Row],[Valor HAEMO]],Representantes_IV[[#This Row],[Garantido HAEMO]],Representantes_IV[[#This Row],[Valor HAEMO]])</f>
        <v>0</v>
      </c>
      <c r="AO20" s="54">
        <f>IF(Representantes_IV[[#This Row],[Garantido HIZENTRA]]&gt;Representantes_IV[[#This Row],[Valor HIZENTRA]],Representantes_IV[[#This Row],[Garantido HIZENTRA]],Representantes_IV[[#This Row],[Valor HIZENTRA]])</f>
        <v>0</v>
      </c>
      <c r="AP20" s="54">
        <f>IF(Representantes_IV[[#This Row],[Garantido PRIVIGEN]]&gt;Representantes_IV[[#This Row],[Valor PRIVIGEN]],Representantes_IV[[#This Row],[Garantido PRIVIGEN]],Representantes_IV[[#This Row],[Valor PRIVIGEN]])</f>
        <v>261.75330000000002</v>
      </c>
      <c r="AQ20" s="54">
        <f>SUM(Cota_Venda[Cota-Venda])</f>
        <v>24875647.060000017</v>
      </c>
      <c r="AR20" s="54">
        <f>SUMIFS(Venda[Venda-IV],Venda[@-Ministerio],FALSE)</f>
        <v>30797896.699999992</v>
      </c>
      <c r="AS20" s="34">
        <f>ROUNDUP(IFERROR(Representantes_IV[[#This Row],[Venda]]/Representantes_IV[[#This Row],[Cota Venda]],0),3)</f>
        <v>1.2389999999999999</v>
      </c>
      <c r="AT20" s="54">
        <f>VLOOKUP(Representantes_IV[[#This Row],[Cobertura Venda]],Valores_Representantes_ESP[],AT$1,1)</f>
        <v>631.32569999999998</v>
      </c>
      <c r="AU20" s="29">
        <f>SUMIFS(Visitas_Outros[Visitas-Meta],Visitas_Outros['#FK-Email-Representante],Representantes_IV[[#This Row],['#PK-Email-Representante]])</f>
        <v>84</v>
      </c>
      <c r="AV20" s="29">
        <f>SUMIFS(Visitas_Outros[Visitas-Realizadas],Visitas_Outros['#FK-Email-Representante],Representantes_IV[[#This Row],['#PK-Email-Representante]])</f>
        <v>125</v>
      </c>
      <c r="AW20" s="34">
        <f>ROUNDUP(IFERROR(Representantes_IV[[#This Row],[Visitas]]/Representantes_IV[[#This Row],[Meta Visitas]],0),3)</f>
        <v>1.4889999999999999</v>
      </c>
      <c r="AX20" s="53">
        <f>IF(Representantes_IV[[#This Row],[Cobertura Visitas]]&lt;Cobertura_Minima_REP,0,VLOOKUP(Representantes_IV[[#This Row],[Cobertura Visitas]],Valores_Representantes_ESP[],AX$1,1))</f>
        <v>1536.9623999999999</v>
      </c>
      <c r="AY20" s="33">
        <f>SUMIFS(Visitas_Outros[%Realizado-Connect-Mind],Visitas_Outros['#FK-Email-Representante],Representantes_IV[[#This Row],['#PK-Email-Representante]])</f>
        <v>1</v>
      </c>
      <c r="AZ20" s="53">
        <f>IF(Representantes_IV[[#This Row],[Cobertura Connect Mind]]&lt;Cobertura_Minima_REP,0,VLOOKUP(Representantes_IV[[#This Row],[Cobertura Connect Mind]],Valores_Representantes_ESP[],AZ$1,1))</f>
        <v>376.08229999999998</v>
      </c>
      <c r="BA20" s="33">
        <f>SUMIFS(Visitas_Outros[%Realizado-Aval-GR],Visitas_Outros['#FK-Email-Representante],Representantes_IV[[#This Row],['#PK-Email-Representante]])</f>
        <v>1</v>
      </c>
      <c r="BB20" s="53">
        <f>IF(Representantes_IV[[#This Row],[Cobertura Gerente Conta]]&lt;Cobertura_Minima_REP,0,VLOOKUP(Representantes_IV[[#This Row],[Cobertura Gerente Conta]],Valores_Representantes_ESP[],BB$1,1))</f>
        <v>1128.2470000000001</v>
      </c>
      <c r="BC20" s="33">
        <f>SUMIFS(Visitas_Outros[%Realizado-Plateau],Visitas_Outros['#FK-Email-Representante],Representantes_IV[[#This Row],['#PK-Email-Representante]])</f>
        <v>1</v>
      </c>
      <c r="BD20" s="53">
        <f>IF(Representantes_IV[[#This Row],[Cobertura Plateau]]&lt;Cobertura_Minima_REP,0,VLOOKUP(Representantes_IV[[#This Row],[Cobertura Plateau]],Valores_Representantes_ESP[],BD$1,1))</f>
        <v>376.08229999999998</v>
      </c>
      <c r="BE20" s="33">
        <f>SUMIFS(Visitas_Outros[%Realizado-Compliance],Visitas_Outros['#FK-Email-Representante],Representantes_IV[[#This Row],['#PK-Email-Representante]])</f>
        <v>1</v>
      </c>
      <c r="BF20" s="53">
        <f>IF(Representantes_IV[[#This Row],[Cobertura Compliance]]&lt;Cobertura_Minima_REP,0,VLOOKUP(Representantes_IV[[#This Row],[Cobertura Compliance]],Valores_Representantes_ESP[],BF$1,1))</f>
        <v>376.08229999999998</v>
      </c>
      <c r="BG20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4686.5353000000005</v>
      </c>
    </row>
    <row r="21" spans="1:59" x14ac:dyDescent="0.25">
      <c r="A21" s="9" t="s">
        <v>98</v>
      </c>
      <c r="B21" s="9" t="s">
        <v>26</v>
      </c>
      <c r="C21" s="46" t="b">
        <v>1</v>
      </c>
      <c r="D21" s="46" t="b">
        <v>0</v>
      </c>
      <c r="E21" s="46" t="b">
        <v>1</v>
      </c>
      <c r="F21" s="46" t="b">
        <v>0</v>
      </c>
      <c r="G21" s="5" t="str">
        <f>IF(COUNTIF(Representantes_IV[[#This Row],[@-HSP]:[@-EMH]],TRUE)&lt;&gt;1,"Erro","OK")</f>
        <v>OK</v>
      </c>
      <c r="H21" s="29">
        <f>SUMIFS(Demanda_IV_REP[Demanda-IV],Demanda_IV_REP['#FK-Email-Representante],Representantes_IV[[#This Row],['#PK-Email-Representante]],Demanda_IV_REP['#FK-Cod-Linha],H$1)</f>
        <v>3</v>
      </c>
      <c r="I21" s="29">
        <f>SUMIFS(Demanda_IV_REP[Demanda-IV],Demanda_IV_REP['#FK-Email-Representante],Representantes_IV[[#This Row],['#PK-Email-Representante]],Demanda_IV_REP['#FK-Cod-Linha],I$1)</f>
        <v>56</v>
      </c>
      <c r="J21" s="29">
        <f>SUMIFS(Demanda_IV_REP[Demanda-IV],Demanda_IV_REP['#FK-Email-Representante],Representantes_IV[[#This Row],['#PK-Email-Representante]],Demanda_IV_REP['#FK-Cod-Linha],J$1)</f>
        <v>22</v>
      </c>
      <c r="K21" s="29">
        <f>SUMIFS(Demanda_IV_REP[Demanda-IV],Demanda_IV_REP['#FK-Email-Representante],Representantes_IV[[#This Row],['#PK-Email-Representante]],Demanda_IV_REP['#FK-Cod-Linha],K$1)</f>
        <v>1179</v>
      </c>
      <c r="L21" s="29">
        <f>SUMIFS(Demanda_IV_REP[Demanda-IV],Demanda_IV_REP['#FK-Email-Representante],Representantes_IV[[#This Row],['#PK-Email-Representante]],Demanda_IV_REP['#FK-Cod-Linha],L$1)</f>
        <v>3130</v>
      </c>
      <c r="M21" s="29">
        <f>SUMIFS(Cota_Demanda[Cota-Representante],Cota_Demanda['#FK-Email-Representante],Representantes_IV[[#This Row],['#PK-Email-Representante]],Cota_Demanda['#FK-Cod-Linha],M$1)</f>
        <v>19.88</v>
      </c>
      <c r="N21" s="29">
        <f>SUMIFS(Cota_Demanda[Cota-Representante],Cota_Demanda['#FK-Email-Representante],Representantes_IV[[#This Row],['#PK-Email-Representante]],Cota_Demanda['#FK-Cod-Linha],N$1)</f>
        <v>0</v>
      </c>
      <c r="O21" s="29">
        <f>SUMIFS(Cota_Demanda[Cota-Representante],Cota_Demanda['#FK-Email-Representante],Representantes_IV[[#This Row],['#PK-Email-Representante]],Cota_Demanda['#FK-Cod-Linha],O$1)</f>
        <v>0</v>
      </c>
      <c r="P21" s="29">
        <f>SUMIFS(Cota_Demanda[Cota-Representante],Cota_Demanda['#FK-Email-Representante],Representantes_IV[[#This Row],['#PK-Email-Representante]],Cota_Demanda['#FK-Cod-Linha],P$1)</f>
        <v>1343</v>
      </c>
      <c r="Q21" s="29">
        <f>SUMIFS(Cota_Demanda[Cota-Representante],Cota_Demanda['#FK-Email-Representante],Representantes_IV[[#This Row],['#PK-Email-Representante]],Cota_Demanda['#FK-Cod-Linha],Q$1)</f>
        <v>8842.17</v>
      </c>
      <c r="R21" s="34">
        <f>IF(Representantes_IV[[#This Row],[Cota BERINERT]]=0,"-",ROUNDUP(Representantes_IV[[#This Row],[Demanda BERINERT]]/Representantes_IV[[#This Row],[Cota BERINERT]],3))</f>
        <v>0.151</v>
      </c>
      <c r="S21" s="34" t="str">
        <f>IF(Representantes_IV[[#This Row],[Cota BERIPLEX]]=0,"-",ROUNDUP(Representantes_IV[[#This Row],[Demanda BERIPLEX]]/Representantes_IV[[#This Row],[Cota BERIPLEX]],3))</f>
        <v>-</v>
      </c>
      <c r="T21" s="34" t="str">
        <f>IF(Representantes_IV[[#This Row],[Cota HAEMO]]=0,"-",ROUNDUP(Representantes_IV[[#This Row],[Demanda HAEMO]]/Representantes_IV[[#This Row],[Cota HAEMO]],3))</f>
        <v>-</v>
      </c>
      <c r="U21" s="34">
        <f>IF(Representantes_IV[[#This Row],[Cota HIZENTRA]]=0,"-",ROUNDUP(Representantes_IV[[#This Row],[Demanda HIZENTRA]]/Representantes_IV[[#This Row],[Cota HIZENTRA]],3))</f>
        <v>0.878</v>
      </c>
      <c r="V21" s="34">
        <f>IF(Representantes_IV[[#This Row],[Cota PRIVIGEN]]=0,"-",ROUNDUP(Representantes_IV[[#This Row],[Demanda PRIVIGEN]]/Representantes_IV[[#This Row],[Cota PRIVIGEN]],3))</f>
        <v>0.35399999999999998</v>
      </c>
      <c r="W21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1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1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1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247.65020000000001</v>
      </c>
      <c r="AA21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21" s="55">
        <f>SUMIFS(Cota_Demanda[%-Garantido],Cota_Demanda['#FK-Email-Representante],Representantes_IV[[#This Row],['#PK-Email-Representante]],Cota_Demanda['#FK-Cod-Linha],AB$1)</f>
        <v>1</v>
      </c>
      <c r="AC21" s="55">
        <f>SUMIFS(Cota_Demanda[%-Garantido],Cota_Demanda['#FK-Email-Representante],Representantes_IV[[#This Row],['#PK-Email-Representante]],Cota_Demanda['#FK-Cod-Linha],AC$1)</f>
        <v>0</v>
      </c>
      <c r="AD21" s="55">
        <f>SUMIFS(Cota_Demanda[%-Garantido],Cota_Demanda['#FK-Email-Representante],Representantes_IV[[#This Row],['#PK-Email-Representante]],Cota_Demanda['#FK-Cod-Linha],AD$1)</f>
        <v>0</v>
      </c>
      <c r="AE21" s="55">
        <f>SUMIFS(Cota_Demanda[%-Garantido],Cota_Demanda['#FK-Email-Representante],Representantes_IV[[#This Row],['#PK-Email-Representante]],Cota_Demanda['#FK-Cod-Linha],AE$1)</f>
        <v>1</v>
      </c>
      <c r="AF21" s="55">
        <f>SUMIFS(Cota_Demanda[%-Garantido],Cota_Demanda['#FK-Email-Representante],Representantes_IV[[#This Row],['#PK-Email-Representante]],Cota_Demanda['#FK-Cod-Linha],AF$1)</f>
        <v>1</v>
      </c>
      <c r="AG21" s="54">
        <f ca="1">IF(Representantes_IV[[#This Row],[%-Garatido BERINERT]]=1,(IF(Representantes_IV[[#This Row],[@-HSP]]=TRUE,AG$2,IF(Representantes_IV[[#This Row],[@-ESP]]=TRUE,AG$3,IF(Representantes_IV[[#This Row],[@-EMH]]=TRUE,AG$4)))),0)</f>
        <v>188.0412</v>
      </c>
      <c r="AH21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1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1" s="54">
        <f ca="1">IF(Representantes_IV[[#This Row],[%-Garantido HIZENTRA]]=1,(IF(Representantes_IV[[#This Row],[@-HSP]]=TRUE,AJ$2,IF(Representantes_IV[[#This Row],[@-ESP]]=TRUE,AJ$3,IF(Representantes_IV[[#This Row],[@-EMH]]=TRUE,AJ$4)))),0)</f>
        <v>564.12350000000004</v>
      </c>
      <c r="AK21" s="54">
        <f ca="1">IF(Representantes_IV[[#This Row],[%-Garantido PRIVIGEN]]=1,(IF(Representantes_IV[[#This Row],[@-HSP]]=TRUE,AK$2,IF(Representantes_IV[[#This Row],[@-ESP]]=TRUE,AK$3,IF(Representantes_IV[[#This Row],[@-EMH]]=TRUE,AK$4)))),0)</f>
        <v>188.0412</v>
      </c>
      <c r="AL21" s="54">
        <f ca="1">IF(Representantes_IV[[#This Row],[Garatido BERINERT]]&gt;Representantes_IV[[#This Row],[Valor BERINERT]],Representantes_IV[[#This Row],[Garatido BERINERT]],Representantes_IV[[#This Row],[Valor BERINERT]])</f>
        <v>188.0412</v>
      </c>
      <c r="AM21" s="54">
        <f>IF(Representantes_IV[[#This Row],[Garantido BERIPLEX]]&gt;Representantes_IV[[#This Row],[Valor BERIPLEX]],Representantes_IV[[#This Row],[Garantido BERIPLEX]],Representantes_IV[[#This Row],[Valor BERIPLEX]])</f>
        <v>0</v>
      </c>
      <c r="AN21" s="54">
        <f>IF(Representantes_IV[[#This Row],[Garantido HAEMO]]&gt;Representantes_IV[[#This Row],[Valor HAEMO]],Representantes_IV[[#This Row],[Garantido HAEMO]],Representantes_IV[[#This Row],[Valor HAEMO]])</f>
        <v>0</v>
      </c>
      <c r="AO21" s="54">
        <f ca="1">IF(Representantes_IV[[#This Row],[Garantido HIZENTRA]]&gt;Representantes_IV[[#This Row],[Valor HIZENTRA]],Representantes_IV[[#This Row],[Garantido HIZENTRA]],Representantes_IV[[#This Row],[Valor HIZENTRA]])</f>
        <v>564.12350000000004</v>
      </c>
      <c r="AP21" s="54">
        <f ca="1">IF(Representantes_IV[[#This Row],[Garantido PRIVIGEN]]&gt;Representantes_IV[[#This Row],[Valor PRIVIGEN]],Representantes_IV[[#This Row],[Garantido PRIVIGEN]],Representantes_IV[[#This Row],[Valor PRIVIGEN]])</f>
        <v>188.0412</v>
      </c>
      <c r="AQ21" s="54">
        <f>SUM(Cota_Venda[Cota-Venda])</f>
        <v>24875647.060000017</v>
      </c>
      <c r="AR21" s="54">
        <f>SUMIFS(Venda[Venda-IV],Venda[@-Ministerio],FALSE)</f>
        <v>30797896.699999992</v>
      </c>
      <c r="AS21" s="34">
        <f>ROUNDUP(IFERROR(Representantes_IV[[#This Row],[Venda]]/Representantes_IV[[#This Row],[Cota Venda]],0),3)</f>
        <v>1.2389999999999999</v>
      </c>
      <c r="AT21" s="54">
        <f>VLOOKUP(Representantes_IV[[#This Row],[Cobertura Venda]],Valores_Representantes_ESP[],AT$1,1)</f>
        <v>631.32569999999998</v>
      </c>
      <c r="AU21" s="29">
        <f>SUMIFS(Visitas_Outros[Visitas-Meta],Visitas_Outros['#FK-Email-Representante],Representantes_IV[[#This Row],['#PK-Email-Representante]])</f>
        <v>84</v>
      </c>
      <c r="AV21" s="29">
        <f>SUMIFS(Visitas_Outros[Visitas-Realizadas],Visitas_Outros['#FK-Email-Representante],Representantes_IV[[#This Row],['#PK-Email-Representante]])</f>
        <v>84</v>
      </c>
      <c r="AW21" s="34">
        <f>ROUNDUP(IFERROR(Representantes_IV[[#This Row],[Visitas]]/Representantes_IV[[#This Row],[Meta Visitas]],0),3)</f>
        <v>1</v>
      </c>
      <c r="AX21" s="53">
        <f>IF(Representantes_IV[[#This Row],[Cobertura Visitas]]&lt;Cobertura_Minima_REP,0,VLOOKUP(Representantes_IV[[#This Row],[Cobertura Visitas]],Valores_Representantes_ESP[],AX$1,1))</f>
        <v>376.08229999999998</v>
      </c>
      <c r="AY21" s="33">
        <f>SUMIFS(Visitas_Outros[%Realizado-Connect-Mind],Visitas_Outros['#FK-Email-Representante],Representantes_IV[[#This Row],['#PK-Email-Representante]])</f>
        <v>1</v>
      </c>
      <c r="AZ21" s="53">
        <f>IF(Representantes_IV[[#This Row],[Cobertura Connect Mind]]&lt;Cobertura_Minima_REP,0,VLOOKUP(Representantes_IV[[#This Row],[Cobertura Connect Mind]],Valores_Representantes_ESP[],AZ$1,1))</f>
        <v>376.08229999999998</v>
      </c>
      <c r="BA21" s="33">
        <f>SUMIFS(Visitas_Outros[%Realizado-Aval-GR],Visitas_Outros['#FK-Email-Representante],Representantes_IV[[#This Row],['#PK-Email-Representante]])</f>
        <v>1</v>
      </c>
      <c r="BB21" s="53">
        <f>IF(Representantes_IV[[#This Row],[Cobertura Gerente Conta]]&lt;Cobertura_Minima_REP,0,VLOOKUP(Representantes_IV[[#This Row],[Cobertura Gerente Conta]],Valores_Representantes_ESP[],BB$1,1))</f>
        <v>1128.2470000000001</v>
      </c>
      <c r="BC21" s="33">
        <f>SUMIFS(Visitas_Outros[%Realizado-Plateau],Visitas_Outros['#FK-Email-Representante],Representantes_IV[[#This Row],['#PK-Email-Representante]])</f>
        <v>1</v>
      </c>
      <c r="BD21" s="53">
        <f>IF(Representantes_IV[[#This Row],[Cobertura Plateau]]&lt;Cobertura_Minima_REP,0,VLOOKUP(Representantes_IV[[#This Row],[Cobertura Plateau]],Valores_Representantes_ESP[],BD$1,1))</f>
        <v>376.08229999999998</v>
      </c>
      <c r="BE21" s="33">
        <f>SUMIFS(Visitas_Outros[%Realizado-Compliance],Visitas_Outros['#FK-Email-Representante],Representantes_IV[[#This Row],['#PK-Email-Representante]])</f>
        <v>1</v>
      </c>
      <c r="BF21" s="53">
        <f>IF(Representantes_IV[[#This Row],[Cobertura Compliance]]&lt;Cobertura_Minima_REP,0,VLOOKUP(Representantes_IV[[#This Row],[Cobertura Compliance]],Valores_Representantes_ESP[],BF$1,1))</f>
        <v>376.08229999999998</v>
      </c>
      <c r="BG21" s="63">
        <f ca="1"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4204.1077999999998</v>
      </c>
    </row>
    <row r="22" spans="1:59" x14ac:dyDescent="0.25">
      <c r="A22" s="9" t="s">
        <v>99</v>
      </c>
      <c r="B22" s="9" t="s">
        <v>27</v>
      </c>
      <c r="C22" s="46" t="b">
        <v>1</v>
      </c>
      <c r="D22" s="46" t="b">
        <v>0</v>
      </c>
      <c r="E22" s="46" t="b">
        <v>1</v>
      </c>
      <c r="F22" s="46" t="b">
        <v>0</v>
      </c>
      <c r="G22" s="5" t="str">
        <f>IF(COUNTIF(Representantes_IV[[#This Row],[@-HSP]:[@-EMH]],TRUE)&lt;&gt;1,"Erro","OK")</f>
        <v>OK</v>
      </c>
      <c r="H22" s="29">
        <f>SUMIFS(Demanda_IV_REP[Demanda-IV],Demanda_IV_REP['#FK-Email-Representante],Representantes_IV[[#This Row],['#PK-Email-Representante]],Demanda_IV_REP['#FK-Cod-Linha],H$1)</f>
        <v>0</v>
      </c>
      <c r="I22" s="29">
        <f>SUMIFS(Demanda_IV_REP[Demanda-IV],Demanda_IV_REP['#FK-Email-Representante],Representantes_IV[[#This Row],['#PK-Email-Representante]],Demanda_IV_REP['#FK-Cod-Linha],I$1)</f>
        <v>336</v>
      </c>
      <c r="J22" s="29">
        <f>SUMIFS(Demanda_IV_REP[Demanda-IV],Demanda_IV_REP['#FK-Email-Representante],Representantes_IV[[#This Row],['#PK-Email-Representante]],Demanda_IV_REP['#FK-Cod-Linha],J$1)</f>
        <v>124</v>
      </c>
      <c r="K22" s="29">
        <f>SUMIFS(Demanda_IV_REP[Demanda-IV],Demanda_IV_REP['#FK-Email-Representante],Representantes_IV[[#This Row],['#PK-Email-Representante]],Demanda_IV_REP['#FK-Cod-Linha],K$1)</f>
        <v>445</v>
      </c>
      <c r="L22" s="29">
        <f>SUMIFS(Demanda_IV_REP[Demanda-IV],Demanda_IV_REP['#FK-Email-Representante],Representantes_IV[[#This Row],['#PK-Email-Representante]],Demanda_IV_REP['#FK-Cod-Linha],L$1)</f>
        <v>19960</v>
      </c>
      <c r="M22" s="29">
        <f>SUMIFS(Cota_Demanda[Cota-Representante],Cota_Demanda['#FK-Email-Representante],Representantes_IV[[#This Row],['#PK-Email-Representante]],Cota_Demanda['#FK-Cod-Linha],M$1)</f>
        <v>19.88</v>
      </c>
      <c r="N22" s="29">
        <f>SUMIFS(Cota_Demanda[Cota-Representante],Cota_Demanda['#FK-Email-Representante],Representantes_IV[[#This Row],['#PK-Email-Representante]],Cota_Demanda['#FK-Cod-Linha],N$1)</f>
        <v>0</v>
      </c>
      <c r="O22" s="29">
        <f>SUMIFS(Cota_Demanda[Cota-Representante],Cota_Demanda['#FK-Email-Representante],Representantes_IV[[#This Row],['#PK-Email-Representante]],Cota_Demanda['#FK-Cod-Linha],O$1)</f>
        <v>0</v>
      </c>
      <c r="P22" s="29">
        <f>SUMIFS(Cota_Demanda[Cota-Representante],Cota_Demanda['#FK-Email-Representante],Representantes_IV[[#This Row],['#PK-Email-Representante]],Cota_Demanda['#FK-Cod-Linha],P$1)</f>
        <v>948</v>
      </c>
      <c r="Q22" s="29">
        <f>SUMIFS(Cota_Demanda[Cota-Representante],Cota_Demanda['#FK-Email-Representante],Representantes_IV[[#This Row],['#PK-Email-Representante]],Cota_Demanda['#FK-Cod-Linha],Q$1)</f>
        <v>10882.67</v>
      </c>
      <c r="R22" s="34">
        <f>IF(Representantes_IV[[#This Row],[Cota BERINERT]]=0,"-",ROUNDUP(Representantes_IV[[#This Row],[Demanda BERINERT]]/Representantes_IV[[#This Row],[Cota BERINERT]],3))</f>
        <v>0</v>
      </c>
      <c r="S22" s="34" t="str">
        <f>IF(Representantes_IV[[#This Row],[Cota BERIPLEX]]=0,"-",ROUNDUP(Representantes_IV[[#This Row],[Demanda BERIPLEX]]/Representantes_IV[[#This Row],[Cota BERIPLEX]],3))</f>
        <v>-</v>
      </c>
      <c r="T22" s="34" t="str">
        <f>IF(Representantes_IV[[#This Row],[Cota HAEMO]]=0,"-",ROUNDUP(Representantes_IV[[#This Row],[Demanda HAEMO]]/Representantes_IV[[#This Row],[Cota HAEMO]],3))</f>
        <v>-</v>
      </c>
      <c r="U22" s="34">
        <f>IF(Representantes_IV[[#This Row],[Cota HIZENTRA]]=0,"-",ROUNDUP(Representantes_IV[[#This Row],[Demanda HIZENTRA]]/Representantes_IV[[#This Row],[Cota HIZENTRA]],3))</f>
        <v>0.47</v>
      </c>
      <c r="V22" s="34">
        <f>IF(Representantes_IV[[#This Row],[Cota PRIVIGEN]]=0,"-",ROUNDUP(Representantes_IV[[#This Row],[Demanda PRIVIGEN]]/Representantes_IV[[#This Row],[Cota PRIVIGEN]],3))</f>
        <v>1.835</v>
      </c>
      <c r="W22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2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2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2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22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779.55079999999998</v>
      </c>
      <c r="AB22" s="55">
        <f>SUMIFS(Cota_Demanda[%-Garantido],Cota_Demanda['#FK-Email-Representante],Representantes_IV[[#This Row],['#PK-Email-Representante]],Cota_Demanda['#FK-Cod-Linha],AB$1)</f>
        <v>0</v>
      </c>
      <c r="AC22" s="55">
        <f>SUMIFS(Cota_Demanda[%-Garantido],Cota_Demanda['#FK-Email-Representante],Representantes_IV[[#This Row],['#PK-Email-Representante]],Cota_Demanda['#FK-Cod-Linha],AC$1)</f>
        <v>0</v>
      </c>
      <c r="AD22" s="55">
        <f>SUMIFS(Cota_Demanda[%-Garantido],Cota_Demanda['#FK-Email-Representante],Representantes_IV[[#This Row],['#PK-Email-Representante]],Cota_Demanda['#FK-Cod-Linha],AD$1)</f>
        <v>0</v>
      </c>
      <c r="AE22" s="55">
        <f>SUMIFS(Cota_Demanda[%-Garantido],Cota_Demanda['#FK-Email-Representante],Representantes_IV[[#This Row],['#PK-Email-Representante]],Cota_Demanda['#FK-Cod-Linha],AE$1)</f>
        <v>0</v>
      </c>
      <c r="AF22" s="55">
        <f>SUMIFS(Cota_Demanda[%-Garantido],Cota_Demanda['#FK-Email-Representante],Representantes_IV[[#This Row],['#PK-Email-Representante]],Cota_Demanda['#FK-Cod-Linha],AF$1)</f>
        <v>0</v>
      </c>
      <c r="AG22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2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2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2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2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2" s="54">
        <f>IF(Representantes_IV[[#This Row],[Garatido BERINERT]]&gt;Representantes_IV[[#This Row],[Valor BERINERT]],Representantes_IV[[#This Row],[Garatido BERINERT]],Representantes_IV[[#This Row],[Valor BERINERT]])</f>
        <v>0</v>
      </c>
      <c r="AM22" s="54">
        <f>IF(Representantes_IV[[#This Row],[Garantido BERIPLEX]]&gt;Representantes_IV[[#This Row],[Valor BERIPLEX]],Representantes_IV[[#This Row],[Garantido BERIPLEX]],Representantes_IV[[#This Row],[Valor BERIPLEX]])</f>
        <v>0</v>
      </c>
      <c r="AN22" s="54">
        <f>IF(Representantes_IV[[#This Row],[Garantido HAEMO]]&gt;Representantes_IV[[#This Row],[Valor HAEMO]],Representantes_IV[[#This Row],[Garantido HAEMO]],Representantes_IV[[#This Row],[Valor HAEMO]])</f>
        <v>0</v>
      </c>
      <c r="AO22" s="54">
        <f>IF(Representantes_IV[[#This Row],[Garantido HIZENTRA]]&gt;Representantes_IV[[#This Row],[Valor HIZENTRA]],Representantes_IV[[#This Row],[Garantido HIZENTRA]],Representantes_IV[[#This Row],[Valor HIZENTRA]])</f>
        <v>0</v>
      </c>
      <c r="AP22" s="54">
        <f>IF(Representantes_IV[[#This Row],[Garantido PRIVIGEN]]&gt;Representantes_IV[[#This Row],[Valor PRIVIGEN]],Representantes_IV[[#This Row],[Garantido PRIVIGEN]],Representantes_IV[[#This Row],[Valor PRIVIGEN]])</f>
        <v>779.55079999999998</v>
      </c>
      <c r="AQ22" s="54">
        <f>SUM(Cota_Venda[Cota-Venda])</f>
        <v>24875647.060000017</v>
      </c>
      <c r="AR22" s="54">
        <f>SUMIFS(Venda[Venda-IV],Venda[@-Ministerio],FALSE)</f>
        <v>30797896.699999992</v>
      </c>
      <c r="AS22" s="34">
        <f>ROUNDUP(IFERROR(Representantes_IV[[#This Row],[Venda]]/Representantes_IV[[#This Row],[Cota Venda]],0),3)</f>
        <v>1.2389999999999999</v>
      </c>
      <c r="AT22" s="54">
        <f>VLOOKUP(Representantes_IV[[#This Row],[Cobertura Venda]],Valores_Representantes_ESP[],AT$1,1)</f>
        <v>631.32569999999998</v>
      </c>
      <c r="AU22" s="29">
        <f>SUMIFS(Visitas_Outros[Visitas-Meta],Visitas_Outros['#FK-Email-Representante],Representantes_IV[[#This Row],['#PK-Email-Representante]])</f>
        <v>84</v>
      </c>
      <c r="AV22" s="29">
        <f>SUMIFS(Visitas_Outros[Visitas-Realizadas],Visitas_Outros['#FK-Email-Representante],Representantes_IV[[#This Row],['#PK-Email-Representante]])</f>
        <v>125</v>
      </c>
      <c r="AW22" s="34">
        <f>ROUNDUP(IFERROR(Representantes_IV[[#This Row],[Visitas]]/Representantes_IV[[#This Row],[Meta Visitas]],0),3)</f>
        <v>1.4889999999999999</v>
      </c>
      <c r="AX22" s="53">
        <f>IF(Representantes_IV[[#This Row],[Cobertura Visitas]]&lt;Cobertura_Minima_REP,0,VLOOKUP(Representantes_IV[[#This Row],[Cobertura Visitas]],Valores_Representantes_ESP[],AX$1,1))</f>
        <v>1536.9623999999999</v>
      </c>
      <c r="AY22" s="33">
        <f>SUMIFS(Visitas_Outros[%Realizado-Connect-Mind],Visitas_Outros['#FK-Email-Representante],Representantes_IV[[#This Row],['#PK-Email-Representante]])</f>
        <v>1</v>
      </c>
      <c r="AZ22" s="53">
        <f>IF(Representantes_IV[[#This Row],[Cobertura Connect Mind]]&lt;Cobertura_Minima_REP,0,VLOOKUP(Representantes_IV[[#This Row],[Cobertura Connect Mind]],Valores_Representantes_ESP[],AZ$1,1))</f>
        <v>376.08229999999998</v>
      </c>
      <c r="BA22" s="33">
        <f>SUMIFS(Visitas_Outros[%Realizado-Aval-GR],Visitas_Outros['#FK-Email-Representante],Representantes_IV[[#This Row],['#PK-Email-Representante]])</f>
        <v>1</v>
      </c>
      <c r="BB22" s="53">
        <f>IF(Representantes_IV[[#This Row],[Cobertura Gerente Conta]]&lt;Cobertura_Minima_REP,0,VLOOKUP(Representantes_IV[[#This Row],[Cobertura Gerente Conta]],Valores_Representantes_ESP[],BB$1,1))</f>
        <v>1128.2470000000001</v>
      </c>
      <c r="BC22" s="33">
        <f>SUMIFS(Visitas_Outros[%Realizado-Plateau],Visitas_Outros['#FK-Email-Representante],Representantes_IV[[#This Row],['#PK-Email-Representante]])</f>
        <v>1</v>
      </c>
      <c r="BD22" s="53">
        <f>IF(Representantes_IV[[#This Row],[Cobertura Plateau]]&lt;Cobertura_Minima_REP,0,VLOOKUP(Representantes_IV[[#This Row],[Cobertura Plateau]],Valores_Representantes_ESP[],BD$1,1))</f>
        <v>376.08229999999998</v>
      </c>
      <c r="BE22" s="33">
        <f>SUMIFS(Visitas_Outros[%Realizado-Compliance],Visitas_Outros['#FK-Email-Representante],Representantes_IV[[#This Row],['#PK-Email-Representante]])</f>
        <v>1</v>
      </c>
      <c r="BF22" s="53">
        <f>IF(Representantes_IV[[#This Row],[Cobertura Compliance]]&lt;Cobertura_Minima_REP,0,VLOOKUP(Representantes_IV[[#This Row],[Cobertura Compliance]],Valores_Representantes_ESP[],BF$1,1))</f>
        <v>376.08229999999998</v>
      </c>
      <c r="BG22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5204.3328000000001</v>
      </c>
    </row>
    <row r="23" spans="1:59" x14ac:dyDescent="0.25">
      <c r="A23" s="9" t="s">
        <v>100</v>
      </c>
      <c r="B23" s="9" t="s">
        <v>28</v>
      </c>
      <c r="C23" s="46" t="b">
        <v>1</v>
      </c>
      <c r="D23" s="46" t="b">
        <v>0</v>
      </c>
      <c r="E23" s="46" t="b">
        <v>1</v>
      </c>
      <c r="F23" s="46" t="b">
        <v>0</v>
      </c>
      <c r="G23" s="5" t="str">
        <f>IF(COUNTIF(Representantes_IV[[#This Row],[@-HSP]:[@-EMH]],TRUE)&lt;&gt;1,"Erro","OK")</f>
        <v>OK</v>
      </c>
      <c r="H23" s="29">
        <f>SUMIFS(Demanda_IV_REP[Demanda-IV],Demanda_IV_REP['#FK-Email-Representante],Representantes_IV[[#This Row],['#PK-Email-Representante]],Demanda_IV_REP['#FK-Cod-Linha],H$1)</f>
        <v>1</v>
      </c>
      <c r="I23" s="29">
        <f>SUMIFS(Demanda_IV_REP[Demanda-IV],Demanda_IV_REP['#FK-Email-Representante],Representantes_IV[[#This Row],['#PK-Email-Representante]],Demanda_IV_REP['#FK-Cod-Linha],I$1)</f>
        <v>309</v>
      </c>
      <c r="J23" s="29">
        <f>SUMIFS(Demanda_IV_REP[Demanda-IV],Demanda_IV_REP['#FK-Email-Representante],Representantes_IV[[#This Row],['#PK-Email-Representante]],Demanda_IV_REP['#FK-Cod-Linha],J$1)</f>
        <v>231</v>
      </c>
      <c r="K23" s="29">
        <f>SUMIFS(Demanda_IV_REP[Demanda-IV],Demanda_IV_REP['#FK-Email-Representante],Representantes_IV[[#This Row],['#PK-Email-Representante]],Demanda_IV_REP['#FK-Cod-Linha],K$1)</f>
        <v>1217</v>
      </c>
      <c r="L23" s="29">
        <f>SUMIFS(Demanda_IV_REP[Demanda-IV],Demanda_IV_REP['#FK-Email-Representante],Representantes_IV[[#This Row],['#PK-Email-Representante]],Demanda_IV_REP['#FK-Cod-Linha],L$1)</f>
        <v>5435</v>
      </c>
      <c r="M23" s="29">
        <f>SUMIFS(Cota_Demanda[Cota-Representante],Cota_Demanda['#FK-Email-Representante],Representantes_IV[[#This Row],['#PK-Email-Representante]],Cota_Demanda['#FK-Cod-Linha],M$1)</f>
        <v>19.88</v>
      </c>
      <c r="N23" s="29">
        <f>SUMIFS(Cota_Demanda[Cota-Representante],Cota_Demanda['#FK-Email-Representante],Representantes_IV[[#This Row],['#PK-Email-Representante]],Cota_Demanda['#FK-Cod-Linha],N$1)</f>
        <v>0</v>
      </c>
      <c r="O23" s="29">
        <f>SUMIFS(Cota_Demanda[Cota-Representante],Cota_Demanda['#FK-Email-Representante],Representantes_IV[[#This Row],['#PK-Email-Representante]],Cota_Demanda['#FK-Cod-Linha],O$1)</f>
        <v>0</v>
      </c>
      <c r="P23" s="29">
        <f>SUMIFS(Cota_Demanda[Cota-Representante],Cota_Demanda['#FK-Email-Representante],Representantes_IV[[#This Row],['#PK-Email-Representante]],Cota_Demanda['#FK-Cod-Linha],P$1)</f>
        <v>1659</v>
      </c>
      <c r="Q23" s="29">
        <f>SUMIFS(Cota_Demanda[Cota-Representante],Cota_Demanda['#FK-Email-Representante],Representantes_IV[[#This Row],['#PK-Email-Representante]],Cota_Demanda['#FK-Cod-Linha],Q$1)</f>
        <v>10202.5</v>
      </c>
      <c r="R23" s="34">
        <f>IF(Representantes_IV[[#This Row],[Cota BERINERT]]=0,"-",ROUNDUP(Representantes_IV[[#This Row],[Demanda BERINERT]]/Representantes_IV[[#This Row],[Cota BERINERT]],3))</f>
        <v>5.1000000000000004E-2</v>
      </c>
      <c r="S23" s="34" t="str">
        <f>IF(Representantes_IV[[#This Row],[Cota BERIPLEX]]=0,"-",ROUNDUP(Representantes_IV[[#This Row],[Demanda BERIPLEX]]/Representantes_IV[[#This Row],[Cota BERIPLEX]],3))</f>
        <v>-</v>
      </c>
      <c r="T23" s="34" t="str">
        <f>IF(Representantes_IV[[#This Row],[Cota HAEMO]]=0,"-",ROUNDUP(Representantes_IV[[#This Row],[Demanda HAEMO]]/Representantes_IV[[#This Row],[Cota HAEMO]],3))</f>
        <v>-</v>
      </c>
      <c r="U23" s="34">
        <f>IF(Representantes_IV[[#This Row],[Cota HIZENTRA]]=0,"-",ROUNDUP(Representantes_IV[[#This Row],[Demanda HIZENTRA]]/Representantes_IV[[#This Row],[Cota HIZENTRA]],3))</f>
        <v>0.73399999999999999</v>
      </c>
      <c r="V23" s="34">
        <f>IF(Representantes_IV[[#This Row],[Cota PRIVIGEN]]=0,"-",ROUNDUP(Representantes_IV[[#This Row],[Demanda PRIVIGEN]]/Representantes_IV[[#This Row],[Cota PRIVIGEN]],3))</f>
        <v>0.53300000000000003</v>
      </c>
      <c r="W23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3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3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3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23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23" s="55">
        <f>SUMIFS(Cota_Demanda[%-Garantido],Cota_Demanda['#FK-Email-Representante],Representantes_IV[[#This Row],['#PK-Email-Representante]],Cota_Demanda['#FK-Cod-Linha],AB$1)</f>
        <v>0</v>
      </c>
      <c r="AC23" s="55">
        <f>SUMIFS(Cota_Demanda[%-Garantido],Cota_Demanda['#FK-Email-Representante],Representantes_IV[[#This Row],['#PK-Email-Representante]],Cota_Demanda['#FK-Cod-Linha],AC$1)</f>
        <v>0</v>
      </c>
      <c r="AD23" s="55">
        <f>SUMIFS(Cota_Demanda[%-Garantido],Cota_Demanda['#FK-Email-Representante],Representantes_IV[[#This Row],['#PK-Email-Representante]],Cota_Demanda['#FK-Cod-Linha],AD$1)</f>
        <v>0</v>
      </c>
      <c r="AE23" s="55">
        <f>SUMIFS(Cota_Demanda[%-Garantido],Cota_Demanda['#FK-Email-Representante],Representantes_IV[[#This Row],['#PK-Email-Representante]],Cota_Demanda['#FK-Cod-Linha],AE$1)</f>
        <v>0</v>
      </c>
      <c r="AF23" s="55">
        <f>SUMIFS(Cota_Demanda[%-Garantido],Cota_Demanda['#FK-Email-Representante],Representantes_IV[[#This Row],['#PK-Email-Representante]],Cota_Demanda['#FK-Cod-Linha],AF$1)</f>
        <v>0</v>
      </c>
      <c r="AG23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3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3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3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3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3" s="54">
        <f>IF(Representantes_IV[[#This Row],[Garatido BERINERT]]&gt;Representantes_IV[[#This Row],[Valor BERINERT]],Representantes_IV[[#This Row],[Garatido BERINERT]],Representantes_IV[[#This Row],[Valor BERINERT]])</f>
        <v>0</v>
      </c>
      <c r="AM23" s="54">
        <f>IF(Representantes_IV[[#This Row],[Garantido BERIPLEX]]&gt;Representantes_IV[[#This Row],[Valor BERIPLEX]],Representantes_IV[[#This Row],[Garantido BERIPLEX]],Representantes_IV[[#This Row],[Valor BERIPLEX]])</f>
        <v>0</v>
      </c>
      <c r="AN23" s="54">
        <f>IF(Representantes_IV[[#This Row],[Garantido HAEMO]]&gt;Representantes_IV[[#This Row],[Valor HAEMO]],Representantes_IV[[#This Row],[Garantido HAEMO]],Representantes_IV[[#This Row],[Valor HAEMO]])</f>
        <v>0</v>
      </c>
      <c r="AO23" s="54">
        <f>IF(Representantes_IV[[#This Row],[Garantido HIZENTRA]]&gt;Representantes_IV[[#This Row],[Valor HIZENTRA]],Representantes_IV[[#This Row],[Garantido HIZENTRA]],Representantes_IV[[#This Row],[Valor HIZENTRA]])</f>
        <v>0</v>
      </c>
      <c r="AP23" s="54">
        <f>IF(Representantes_IV[[#This Row],[Garantido PRIVIGEN]]&gt;Representantes_IV[[#This Row],[Valor PRIVIGEN]],Representantes_IV[[#This Row],[Garantido PRIVIGEN]],Representantes_IV[[#This Row],[Valor PRIVIGEN]])</f>
        <v>0</v>
      </c>
      <c r="AQ23" s="54">
        <f>SUM(Cota_Venda[Cota-Venda])</f>
        <v>24875647.060000017</v>
      </c>
      <c r="AR23" s="54">
        <f>SUMIFS(Venda[Venda-IV],Venda[@-Ministerio],FALSE)</f>
        <v>30797896.699999992</v>
      </c>
      <c r="AS23" s="34">
        <f>ROUNDUP(IFERROR(Representantes_IV[[#This Row],[Venda]]/Representantes_IV[[#This Row],[Cota Venda]],0),3)</f>
        <v>1.2389999999999999</v>
      </c>
      <c r="AT23" s="54">
        <f>VLOOKUP(Representantes_IV[[#This Row],[Cobertura Venda]],Valores_Representantes_ESP[],AT$1,1)</f>
        <v>631.32569999999998</v>
      </c>
      <c r="AU23" s="29">
        <f>SUMIFS(Visitas_Outros[Visitas-Meta],Visitas_Outros['#FK-Email-Representante],Representantes_IV[[#This Row],['#PK-Email-Representante]])</f>
        <v>92</v>
      </c>
      <c r="AV23" s="29">
        <f>SUMIFS(Visitas_Outros[Visitas-Realizadas],Visitas_Outros['#FK-Email-Representante],Representantes_IV[[#This Row],['#PK-Email-Representante]])</f>
        <v>117</v>
      </c>
      <c r="AW23" s="34">
        <f>ROUNDUP(IFERROR(Representantes_IV[[#This Row],[Visitas]]/Representantes_IV[[#This Row],[Meta Visitas]],0),3)</f>
        <v>1.2719999999999998</v>
      </c>
      <c r="AX23" s="53">
        <f>IF(Representantes_IV[[#This Row],[Cobertura Visitas]]&lt;Cobertura_Minima_REP,0,VLOOKUP(Representantes_IV[[#This Row],[Cobertura Visitas]],Valores_Representantes_ESP[],AX$1,1))</f>
        <v>1296.3086000000001</v>
      </c>
      <c r="AY23" s="33">
        <f>SUMIFS(Visitas_Outros[%Realizado-Connect-Mind],Visitas_Outros['#FK-Email-Representante],Representantes_IV[[#This Row],['#PK-Email-Representante]])</f>
        <v>1</v>
      </c>
      <c r="AZ23" s="53">
        <f>IF(Representantes_IV[[#This Row],[Cobertura Connect Mind]]&lt;Cobertura_Minima_REP,0,VLOOKUP(Representantes_IV[[#This Row],[Cobertura Connect Mind]],Valores_Representantes_ESP[],AZ$1,1))</f>
        <v>376.08229999999998</v>
      </c>
      <c r="BA23" s="33">
        <f>SUMIFS(Visitas_Outros[%Realizado-Aval-GR],Visitas_Outros['#FK-Email-Representante],Representantes_IV[[#This Row],['#PK-Email-Representante]])</f>
        <v>1</v>
      </c>
      <c r="BB23" s="53">
        <f>IF(Representantes_IV[[#This Row],[Cobertura Gerente Conta]]&lt;Cobertura_Minima_REP,0,VLOOKUP(Representantes_IV[[#This Row],[Cobertura Gerente Conta]],Valores_Representantes_ESP[],BB$1,1))</f>
        <v>1128.2470000000001</v>
      </c>
      <c r="BC23" s="33">
        <f>SUMIFS(Visitas_Outros[%Realizado-Plateau],Visitas_Outros['#FK-Email-Representante],Representantes_IV[[#This Row],['#PK-Email-Representante]])</f>
        <v>1</v>
      </c>
      <c r="BD23" s="53">
        <f>IF(Representantes_IV[[#This Row],[Cobertura Plateau]]&lt;Cobertura_Minima_REP,0,VLOOKUP(Representantes_IV[[#This Row],[Cobertura Plateau]],Valores_Representantes_ESP[],BD$1,1))</f>
        <v>376.08229999999998</v>
      </c>
      <c r="BE23" s="33">
        <f>SUMIFS(Visitas_Outros[%Realizado-Compliance],Visitas_Outros['#FK-Email-Representante],Representantes_IV[[#This Row],['#PK-Email-Representante]])</f>
        <v>1</v>
      </c>
      <c r="BF23" s="53">
        <f>IF(Representantes_IV[[#This Row],[Cobertura Compliance]]&lt;Cobertura_Minima_REP,0,VLOOKUP(Representantes_IV[[#This Row],[Cobertura Compliance]],Valores_Representantes_ESP[],BF$1,1))</f>
        <v>376.08229999999998</v>
      </c>
      <c r="BG23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4184.1282000000001</v>
      </c>
    </row>
    <row r="24" spans="1:59" x14ac:dyDescent="0.25">
      <c r="A24" s="9" t="s">
        <v>101</v>
      </c>
      <c r="B24" s="9" t="s">
        <v>31</v>
      </c>
      <c r="C24" s="46" t="b">
        <v>1</v>
      </c>
      <c r="D24" s="46" t="b">
        <v>0</v>
      </c>
      <c r="E24" s="46" t="b">
        <v>1</v>
      </c>
      <c r="F24" s="46" t="b">
        <v>0</v>
      </c>
      <c r="G24" s="5" t="str">
        <f>IF(COUNTIF(Representantes_IV[[#This Row],[@-HSP]:[@-EMH]],TRUE)&lt;&gt;1,"Erro","OK")</f>
        <v>OK</v>
      </c>
      <c r="H24" s="29">
        <f>SUMIFS(Demanda_IV_REP[Demanda-IV],Demanda_IV_REP['#FK-Email-Representante],Representantes_IV[[#This Row],['#PK-Email-Representante]],Demanda_IV_REP['#FK-Cod-Linha],H$1)</f>
        <v>3</v>
      </c>
      <c r="I24" s="29">
        <f>SUMIFS(Demanda_IV_REP[Demanda-IV],Demanda_IV_REP['#FK-Email-Representante],Representantes_IV[[#This Row],['#PK-Email-Representante]],Demanda_IV_REP['#FK-Cod-Linha],I$1)</f>
        <v>75</v>
      </c>
      <c r="J24" s="29">
        <f>SUMIFS(Demanda_IV_REP[Demanda-IV],Demanda_IV_REP['#FK-Email-Representante],Representantes_IV[[#This Row],['#PK-Email-Representante]],Demanda_IV_REP['#FK-Cod-Linha],J$1)</f>
        <v>132</v>
      </c>
      <c r="K24" s="29">
        <f>SUMIFS(Demanda_IV_REP[Demanda-IV],Demanda_IV_REP['#FK-Email-Representante],Representantes_IV[[#This Row],['#PK-Email-Representante]],Demanda_IV_REP['#FK-Cod-Linha],K$1)</f>
        <v>564</v>
      </c>
      <c r="L24" s="29">
        <f>SUMIFS(Demanda_IV_REP[Demanda-IV],Demanda_IV_REP['#FK-Email-Representante],Representantes_IV[[#This Row],['#PK-Email-Representante]],Demanda_IV_REP['#FK-Cod-Linha],L$1)</f>
        <v>4685</v>
      </c>
      <c r="M24" s="29">
        <f>SUMIFS(Cota_Demanda[Cota-Representante],Cota_Demanda['#FK-Email-Representante],Representantes_IV[[#This Row],['#PK-Email-Representante]],Cota_Demanda['#FK-Cod-Linha],M$1)</f>
        <v>39.76</v>
      </c>
      <c r="N24" s="29">
        <f>SUMIFS(Cota_Demanda[Cota-Representante],Cota_Demanda['#FK-Email-Representante],Representantes_IV[[#This Row],['#PK-Email-Representante]],Cota_Demanda['#FK-Cod-Linha],N$1)</f>
        <v>0</v>
      </c>
      <c r="O24" s="29">
        <f>SUMIFS(Cota_Demanda[Cota-Representante],Cota_Demanda['#FK-Email-Representante],Representantes_IV[[#This Row],['#PK-Email-Representante]],Cota_Demanda['#FK-Cod-Linha],O$1)</f>
        <v>0</v>
      </c>
      <c r="P24" s="29">
        <f>SUMIFS(Cota_Demanda[Cota-Representante],Cota_Demanda['#FK-Email-Representante],Representantes_IV[[#This Row],['#PK-Email-Representante]],Cota_Demanda['#FK-Cod-Linha],P$1)</f>
        <v>948</v>
      </c>
      <c r="Q24" s="29">
        <f>SUMIFS(Cota_Demanda[Cota-Representante],Cota_Demanda['#FK-Email-Representante],Representantes_IV[[#This Row],['#PK-Email-Representante]],Cota_Demanda['#FK-Cod-Linha],Q$1)</f>
        <v>8842.17</v>
      </c>
      <c r="R24" s="34">
        <f>IF(Representantes_IV[[#This Row],[Cota BERINERT]]=0,"-",ROUNDUP(Representantes_IV[[#This Row],[Demanda BERINERT]]/Representantes_IV[[#This Row],[Cota BERINERT]],3))</f>
        <v>7.5999999999999998E-2</v>
      </c>
      <c r="S24" s="34" t="str">
        <f>IF(Representantes_IV[[#This Row],[Cota BERIPLEX]]=0,"-",ROUNDUP(Representantes_IV[[#This Row],[Demanda BERIPLEX]]/Representantes_IV[[#This Row],[Cota BERIPLEX]],3))</f>
        <v>-</v>
      </c>
      <c r="T24" s="34" t="str">
        <f>IF(Representantes_IV[[#This Row],[Cota HAEMO]]=0,"-",ROUNDUP(Representantes_IV[[#This Row],[Demanda HAEMO]]/Representantes_IV[[#This Row],[Cota HAEMO]],3))</f>
        <v>-</v>
      </c>
      <c r="U24" s="34">
        <f>IF(Representantes_IV[[#This Row],[Cota HIZENTRA]]=0,"-",ROUNDUP(Representantes_IV[[#This Row],[Demanda HIZENTRA]]/Representantes_IV[[#This Row],[Cota HIZENTRA]],3))</f>
        <v>0.59499999999999997</v>
      </c>
      <c r="V24" s="34">
        <f>IF(Representantes_IV[[#This Row],[Cota PRIVIGEN]]=0,"-",ROUNDUP(Representantes_IV[[#This Row],[Demanda PRIVIGEN]]/Representantes_IV[[#This Row],[Cota PRIVIGEN]],3))</f>
        <v>0.53</v>
      </c>
      <c r="W24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4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4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4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24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24" s="55">
        <f>SUMIFS(Cota_Demanda[%-Garantido],Cota_Demanda['#FK-Email-Representante],Representantes_IV[[#This Row],['#PK-Email-Representante]],Cota_Demanda['#FK-Cod-Linha],AB$1)</f>
        <v>0</v>
      </c>
      <c r="AC24" s="55">
        <f>SUMIFS(Cota_Demanda[%-Garantido],Cota_Demanda['#FK-Email-Representante],Representantes_IV[[#This Row],['#PK-Email-Representante]],Cota_Demanda['#FK-Cod-Linha],AC$1)</f>
        <v>0</v>
      </c>
      <c r="AD24" s="55">
        <f>SUMIFS(Cota_Demanda[%-Garantido],Cota_Demanda['#FK-Email-Representante],Representantes_IV[[#This Row],['#PK-Email-Representante]],Cota_Demanda['#FK-Cod-Linha],AD$1)</f>
        <v>0</v>
      </c>
      <c r="AE24" s="55">
        <f>SUMIFS(Cota_Demanda[%-Garantido],Cota_Demanda['#FK-Email-Representante],Representantes_IV[[#This Row],['#PK-Email-Representante]],Cota_Demanda['#FK-Cod-Linha],AE$1)</f>
        <v>0</v>
      </c>
      <c r="AF24" s="55">
        <f>SUMIFS(Cota_Demanda[%-Garantido],Cota_Demanda['#FK-Email-Representante],Representantes_IV[[#This Row],['#PK-Email-Representante]],Cota_Demanda['#FK-Cod-Linha],AF$1)</f>
        <v>0</v>
      </c>
      <c r="AG24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4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4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4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4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4" s="54">
        <f>IF(Representantes_IV[[#This Row],[Garatido BERINERT]]&gt;Representantes_IV[[#This Row],[Valor BERINERT]],Representantes_IV[[#This Row],[Garatido BERINERT]],Representantes_IV[[#This Row],[Valor BERINERT]])</f>
        <v>0</v>
      </c>
      <c r="AM24" s="54">
        <f>IF(Representantes_IV[[#This Row],[Garantido BERIPLEX]]&gt;Representantes_IV[[#This Row],[Valor BERIPLEX]],Representantes_IV[[#This Row],[Garantido BERIPLEX]],Representantes_IV[[#This Row],[Valor BERIPLEX]])</f>
        <v>0</v>
      </c>
      <c r="AN24" s="54">
        <f>IF(Representantes_IV[[#This Row],[Garantido HAEMO]]&gt;Representantes_IV[[#This Row],[Valor HAEMO]],Representantes_IV[[#This Row],[Garantido HAEMO]],Representantes_IV[[#This Row],[Valor HAEMO]])</f>
        <v>0</v>
      </c>
      <c r="AO24" s="54">
        <f>IF(Representantes_IV[[#This Row],[Garantido HIZENTRA]]&gt;Representantes_IV[[#This Row],[Valor HIZENTRA]],Representantes_IV[[#This Row],[Garantido HIZENTRA]],Representantes_IV[[#This Row],[Valor HIZENTRA]])</f>
        <v>0</v>
      </c>
      <c r="AP24" s="54">
        <f>IF(Representantes_IV[[#This Row],[Garantido PRIVIGEN]]&gt;Representantes_IV[[#This Row],[Valor PRIVIGEN]],Representantes_IV[[#This Row],[Garantido PRIVIGEN]],Representantes_IV[[#This Row],[Valor PRIVIGEN]])</f>
        <v>0</v>
      </c>
      <c r="AQ24" s="54">
        <f>SUM(Cota_Venda[Cota-Venda])</f>
        <v>24875647.060000017</v>
      </c>
      <c r="AR24" s="54">
        <f>SUMIFS(Venda[Venda-IV],Venda[@-Ministerio],FALSE)</f>
        <v>30797896.699999992</v>
      </c>
      <c r="AS24" s="34">
        <f>ROUNDUP(IFERROR(Representantes_IV[[#This Row],[Venda]]/Representantes_IV[[#This Row],[Cota Venda]],0),3)</f>
        <v>1.2389999999999999</v>
      </c>
      <c r="AT24" s="54">
        <f>VLOOKUP(Representantes_IV[[#This Row],[Cobertura Venda]],Valores_Representantes_ESP[],AT$1,1)</f>
        <v>631.32569999999998</v>
      </c>
      <c r="AU24" s="29">
        <f>SUMIFS(Visitas_Outros[Visitas-Meta],Visitas_Outros['#FK-Email-Representante],Representantes_IV[[#This Row],['#PK-Email-Representante]])</f>
        <v>84</v>
      </c>
      <c r="AV24" s="29">
        <f>SUMIFS(Visitas_Outros[Visitas-Realizadas],Visitas_Outros['#FK-Email-Representante],Representantes_IV[[#This Row],['#PK-Email-Representante]])</f>
        <v>137</v>
      </c>
      <c r="AW24" s="34">
        <f>ROUNDUP(IFERROR(Representantes_IV[[#This Row],[Visitas]]/Representantes_IV[[#This Row],[Meta Visitas]],0),3)</f>
        <v>1.6309999999999998</v>
      </c>
      <c r="AX24" s="53">
        <f>IF(Representantes_IV[[#This Row],[Cobertura Visitas]]&lt;Cobertura_Minima_REP,0,VLOOKUP(Representantes_IV[[#This Row],[Cobertura Visitas]],Valores_Representantes_ESP[],AX$1,1))</f>
        <v>1559.1016</v>
      </c>
      <c r="AY24" s="33">
        <f>SUMIFS(Visitas_Outros[%Realizado-Connect-Mind],Visitas_Outros['#FK-Email-Representante],Representantes_IV[[#This Row],['#PK-Email-Representante]])</f>
        <v>1</v>
      </c>
      <c r="AZ24" s="53">
        <f>IF(Representantes_IV[[#This Row],[Cobertura Connect Mind]]&lt;Cobertura_Minima_REP,0,VLOOKUP(Representantes_IV[[#This Row],[Cobertura Connect Mind]],Valores_Representantes_ESP[],AZ$1,1))</f>
        <v>376.08229999999998</v>
      </c>
      <c r="BA24" s="33">
        <f>SUMIFS(Visitas_Outros[%Realizado-Aval-GR],Visitas_Outros['#FK-Email-Representante],Representantes_IV[[#This Row],['#PK-Email-Representante]])</f>
        <v>1</v>
      </c>
      <c r="BB24" s="53">
        <f>IF(Representantes_IV[[#This Row],[Cobertura Gerente Conta]]&lt;Cobertura_Minima_REP,0,VLOOKUP(Representantes_IV[[#This Row],[Cobertura Gerente Conta]],Valores_Representantes_ESP[],BB$1,1))</f>
        <v>1128.2470000000001</v>
      </c>
      <c r="BC24" s="33">
        <f>SUMIFS(Visitas_Outros[%Realizado-Plateau],Visitas_Outros['#FK-Email-Representante],Representantes_IV[[#This Row],['#PK-Email-Representante]])</f>
        <v>1</v>
      </c>
      <c r="BD24" s="53">
        <f>IF(Representantes_IV[[#This Row],[Cobertura Plateau]]&lt;Cobertura_Minima_REP,0,VLOOKUP(Representantes_IV[[#This Row],[Cobertura Plateau]],Valores_Representantes_ESP[],BD$1,1))</f>
        <v>376.08229999999998</v>
      </c>
      <c r="BE24" s="33">
        <f>SUMIFS(Visitas_Outros[%Realizado-Compliance],Visitas_Outros['#FK-Email-Representante],Representantes_IV[[#This Row],['#PK-Email-Representante]])</f>
        <v>1</v>
      </c>
      <c r="BF24" s="53">
        <f>IF(Representantes_IV[[#This Row],[Cobertura Compliance]]&lt;Cobertura_Minima_REP,0,VLOOKUP(Representantes_IV[[#This Row],[Cobertura Compliance]],Valores_Representantes_ESP[],BF$1,1))</f>
        <v>376.08229999999998</v>
      </c>
      <c r="BG24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4446.9211999999998</v>
      </c>
    </row>
    <row r="25" spans="1:59" x14ac:dyDescent="0.25">
      <c r="A25" s="9" t="s">
        <v>102</v>
      </c>
      <c r="B25" s="9" t="s">
        <v>37</v>
      </c>
      <c r="C25" s="46" t="b">
        <v>1</v>
      </c>
      <c r="D25" s="46" t="b">
        <v>0</v>
      </c>
      <c r="E25" s="46" t="b">
        <v>1</v>
      </c>
      <c r="F25" s="46" t="b">
        <v>0</v>
      </c>
      <c r="G25" s="5" t="str">
        <f>IF(COUNTIF(Representantes_IV[[#This Row],[@-HSP]:[@-EMH]],TRUE)&lt;&gt;1,"Erro","OK")</f>
        <v>OK</v>
      </c>
      <c r="H25" s="29">
        <f>SUMIFS(Demanda_IV_REP[Demanda-IV],Demanda_IV_REP['#FK-Email-Representante],Representantes_IV[[#This Row],['#PK-Email-Representante]],Demanda_IV_REP['#FK-Cod-Linha],H$1)</f>
        <v>247</v>
      </c>
      <c r="I25" s="29">
        <f>SUMIFS(Demanda_IV_REP[Demanda-IV],Demanda_IV_REP['#FK-Email-Representante],Representantes_IV[[#This Row],['#PK-Email-Representante]],Demanda_IV_REP['#FK-Cod-Linha],I$1)</f>
        <v>68</v>
      </c>
      <c r="J25" s="29">
        <f>SUMIFS(Demanda_IV_REP[Demanda-IV],Demanda_IV_REP['#FK-Email-Representante],Representantes_IV[[#This Row],['#PK-Email-Representante]],Demanda_IV_REP['#FK-Cod-Linha],J$1)</f>
        <v>40</v>
      </c>
      <c r="K25" s="29">
        <f>SUMIFS(Demanda_IV_REP[Demanda-IV],Demanda_IV_REP['#FK-Email-Representante],Representantes_IV[[#This Row],['#PK-Email-Representante]],Demanda_IV_REP['#FK-Cod-Linha],K$1)</f>
        <v>777</v>
      </c>
      <c r="L25" s="29">
        <f>SUMIFS(Demanda_IV_REP[Demanda-IV],Demanda_IV_REP['#FK-Email-Representante],Representantes_IV[[#This Row],['#PK-Email-Representante]],Demanda_IV_REP['#FK-Cod-Linha],L$1)</f>
        <v>24445</v>
      </c>
      <c r="M25" s="29">
        <f>SUMIFS(Cota_Demanda[Cota-Representante],Cota_Demanda['#FK-Email-Representante],Representantes_IV[[#This Row],['#PK-Email-Representante]],Cota_Demanda['#FK-Cod-Linha],M$1)</f>
        <v>159.04</v>
      </c>
      <c r="N25" s="29">
        <f>SUMIFS(Cota_Demanda[Cota-Representante],Cota_Demanda['#FK-Email-Representante],Representantes_IV[[#This Row],['#PK-Email-Representante]],Cota_Demanda['#FK-Cod-Linha],N$1)</f>
        <v>0</v>
      </c>
      <c r="O25" s="29">
        <f>SUMIFS(Cota_Demanda[Cota-Representante],Cota_Demanda['#FK-Email-Representante],Representantes_IV[[#This Row],['#PK-Email-Representante]],Cota_Demanda['#FK-Cod-Linha],O$1)</f>
        <v>0</v>
      </c>
      <c r="P25" s="29">
        <f>SUMIFS(Cota_Demanda[Cota-Representante],Cota_Demanda['#FK-Email-Representante],Representantes_IV[[#This Row],['#PK-Email-Representante]],Cota_Demanda['#FK-Cod-Linha],P$1)</f>
        <v>1027</v>
      </c>
      <c r="Q25" s="29">
        <f>SUMIFS(Cota_Demanda[Cota-Representante],Cota_Demanda['#FK-Email-Representante],Representantes_IV[[#This Row],['#PK-Email-Representante]],Cota_Demanda['#FK-Cod-Linha],Q$1)</f>
        <v>16324</v>
      </c>
      <c r="R25" s="34">
        <f>IF(Representantes_IV[[#This Row],[Cota BERINERT]]=0,"-",ROUNDUP(Representantes_IV[[#This Row],[Demanda BERINERT]]/Representantes_IV[[#This Row],[Cota BERINERT]],3))</f>
        <v>1.5539999999999998</v>
      </c>
      <c r="S25" s="34" t="str">
        <f>IF(Representantes_IV[[#This Row],[Cota BERIPLEX]]=0,"-",ROUNDUP(Representantes_IV[[#This Row],[Demanda BERIPLEX]]/Representantes_IV[[#This Row],[Cota BERIPLEX]],3))</f>
        <v>-</v>
      </c>
      <c r="T25" s="34" t="str">
        <f>IF(Representantes_IV[[#This Row],[Cota HAEMO]]=0,"-",ROUNDUP(Representantes_IV[[#This Row],[Demanda HAEMO]]/Representantes_IV[[#This Row],[Cota HAEMO]],3))</f>
        <v>-</v>
      </c>
      <c r="U25" s="34">
        <f>IF(Representantes_IV[[#This Row],[Cota HIZENTRA]]=0,"-",ROUNDUP(Representantes_IV[[#This Row],[Demanda HIZENTRA]]/Representantes_IV[[#This Row],[Cota HIZENTRA]],3))</f>
        <v>0.75700000000000001</v>
      </c>
      <c r="V25" s="34">
        <f>IF(Representantes_IV[[#This Row],[Cota PRIVIGEN]]=0,"-",ROUNDUP(Representantes_IV[[#This Row],[Demanda PRIVIGEN]]/Representantes_IV[[#This Row],[Cota PRIVIGEN]],3))</f>
        <v>1.498</v>
      </c>
      <c r="W25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779.55079999999998</v>
      </c>
      <c r="X25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5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5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25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773.64570000000003</v>
      </c>
      <c r="AB25" s="55">
        <f>SUMIFS(Cota_Demanda[%-Garantido],Cota_Demanda['#FK-Email-Representante],Representantes_IV[[#This Row],['#PK-Email-Representante]],Cota_Demanda['#FK-Cod-Linha],AB$1)</f>
        <v>0</v>
      </c>
      <c r="AC25" s="55">
        <f>SUMIFS(Cota_Demanda[%-Garantido],Cota_Demanda['#FK-Email-Representante],Representantes_IV[[#This Row],['#PK-Email-Representante]],Cota_Demanda['#FK-Cod-Linha],AC$1)</f>
        <v>0</v>
      </c>
      <c r="AD25" s="55">
        <f>SUMIFS(Cota_Demanda[%-Garantido],Cota_Demanda['#FK-Email-Representante],Representantes_IV[[#This Row],['#PK-Email-Representante]],Cota_Demanda['#FK-Cod-Linha],AD$1)</f>
        <v>0</v>
      </c>
      <c r="AE25" s="55">
        <f>SUMIFS(Cota_Demanda[%-Garantido],Cota_Demanda['#FK-Email-Representante],Representantes_IV[[#This Row],['#PK-Email-Representante]],Cota_Demanda['#FK-Cod-Linha],AE$1)</f>
        <v>0</v>
      </c>
      <c r="AF25" s="55">
        <f>SUMIFS(Cota_Demanda[%-Garantido],Cota_Demanda['#FK-Email-Representante],Representantes_IV[[#This Row],['#PK-Email-Representante]],Cota_Demanda['#FK-Cod-Linha],AF$1)</f>
        <v>0</v>
      </c>
      <c r="AG25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5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5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5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5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5" s="54">
        <f>IF(Representantes_IV[[#This Row],[Garatido BERINERT]]&gt;Representantes_IV[[#This Row],[Valor BERINERT]],Representantes_IV[[#This Row],[Garatido BERINERT]],Representantes_IV[[#This Row],[Valor BERINERT]])</f>
        <v>779.55079999999998</v>
      </c>
      <c r="AM25" s="54">
        <f>IF(Representantes_IV[[#This Row],[Garantido BERIPLEX]]&gt;Representantes_IV[[#This Row],[Valor BERIPLEX]],Representantes_IV[[#This Row],[Garantido BERIPLEX]],Representantes_IV[[#This Row],[Valor BERIPLEX]])</f>
        <v>0</v>
      </c>
      <c r="AN25" s="54">
        <f>IF(Representantes_IV[[#This Row],[Garantido HAEMO]]&gt;Representantes_IV[[#This Row],[Valor HAEMO]],Representantes_IV[[#This Row],[Garantido HAEMO]],Representantes_IV[[#This Row],[Valor HAEMO]])</f>
        <v>0</v>
      </c>
      <c r="AO25" s="54">
        <f>IF(Representantes_IV[[#This Row],[Garantido HIZENTRA]]&gt;Representantes_IV[[#This Row],[Valor HIZENTRA]],Representantes_IV[[#This Row],[Garantido HIZENTRA]],Representantes_IV[[#This Row],[Valor HIZENTRA]])</f>
        <v>0</v>
      </c>
      <c r="AP25" s="54">
        <f>IF(Representantes_IV[[#This Row],[Garantido PRIVIGEN]]&gt;Representantes_IV[[#This Row],[Valor PRIVIGEN]],Representantes_IV[[#This Row],[Garantido PRIVIGEN]],Representantes_IV[[#This Row],[Valor PRIVIGEN]])</f>
        <v>773.64570000000003</v>
      </c>
      <c r="AQ25" s="54">
        <f>SUM(Cota_Venda[Cota-Venda])</f>
        <v>24875647.060000017</v>
      </c>
      <c r="AR25" s="54">
        <f>SUMIFS(Venda[Venda-IV],Venda[@-Ministerio],FALSE)</f>
        <v>30797896.699999992</v>
      </c>
      <c r="AS25" s="34">
        <f>ROUNDUP(IFERROR(Representantes_IV[[#This Row],[Venda]]/Representantes_IV[[#This Row],[Cota Venda]],0),3)</f>
        <v>1.2389999999999999</v>
      </c>
      <c r="AT25" s="54">
        <f>VLOOKUP(Representantes_IV[[#This Row],[Cobertura Venda]],Valores_Representantes_ESP[],AT$1,1)</f>
        <v>631.32569999999998</v>
      </c>
      <c r="AU25" s="29">
        <f>SUMIFS(Visitas_Outros[Visitas-Meta],Visitas_Outros['#FK-Email-Representante],Representantes_IV[[#This Row],['#PK-Email-Representante]])</f>
        <v>92</v>
      </c>
      <c r="AV25" s="29">
        <f>SUMIFS(Visitas_Outros[Visitas-Realizadas],Visitas_Outros['#FK-Email-Representante],Representantes_IV[[#This Row],['#PK-Email-Representante]])</f>
        <v>97</v>
      </c>
      <c r="AW25" s="34">
        <f>ROUNDUP(IFERROR(Representantes_IV[[#This Row],[Visitas]]/Representantes_IV[[#This Row],[Meta Visitas]],0),3)</f>
        <v>1.0549999999999999</v>
      </c>
      <c r="AX25" s="53">
        <f>IF(Representantes_IV[[#This Row],[Cobertura Visitas]]&lt;Cobertura_Minima_REP,0,VLOOKUP(Representantes_IV[[#This Row],[Cobertura Visitas]],Valores_Representantes_ESP[],AX$1,1))</f>
        <v>396.76650000000001</v>
      </c>
      <c r="AY25" s="33">
        <f>SUMIFS(Visitas_Outros[%Realizado-Connect-Mind],Visitas_Outros['#FK-Email-Representante],Representantes_IV[[#This Row],['#PK-Email-Representante]])</f>
        <v>1</v>
      </c>
      <c r="AZ25" s="53">
        <f>IF(Representantes_IV[[#This Row],[Cobertura Connect Mind]]&lt;Cobertura_Minima_REP,0,VLOOKUP(Representantes_IV[[#This Row],[Cobertura Connect Mind]],Valores_Representantes_ESP[],AZ$1,1))</f>
        <v>376.08229999999998</v>
      </c>
      <c r="BA25" s="33">
        <f>SUMIFS(Visitas_Outros[%Realizado-Aval-GR],Visitas_Outros['#FK-Email-Representante],Representantes_IV[[#This Row],['#PK-Email-Representante]])</f>
        <v>1</v>
      </c>
      <c r="BB25" s="53">
        <f>IF(Representantes_IV[[#This Row],[Cobertura Gerente Conta]]&lt;Cobertura_Minima_REP,0,VLOOKUP(Representantes_IV[[#This Row],[Cobertura Gerente Conta]],Valores_Representantes_ESP[],BB$1,1))</f>
        <v>1128.2470000000001</v>
      </c>
      <c r="BC25" s="33">
        <f>SUMIFS(Visitas_Outros[%Realizado-Plateau],Visitas_Outros['#FK-Email-Representante],Representantes_IV[[#This Row],['#PK-Email-Representante]])</f>
        <v>1</v>
      </c>
      <c r="BD25" s="53">
        <f>IF(Representantes_IV[[#This Row],[Cobertura Plateau]]&lt;Cobertura_Minima_REP,0,VLOOKUP(Representantes_IV[[#This Row],[Cobertura Plateau]],Valores_Representantes_ESP[],BD$1,1))</f>
        <v>376.08229999999998</v>
      </c>
      <c r="BE25" s="33">
        <f>SUMIFS(Visitas_Outros[%Realizado-Compliance],Visitas_Outros['#FK-Email-Representante],Representantes_IV[[#This Row],['#PK-Email-Representante]])</f>
        <v>1</v>
      </c>
      <c r="BF25" s="53">
        <f>IF(Representantes_IV[[#This Row],[Cobertura Compliance]]&lt;Cobertura_Minima_REP,0,VLOOKUP(Representantes_IV[[#This Row],[Cobertura Compliance]],Valores_Representantes_ESP[],BF$1,1))</f>
        <v>376.08229999999998</v>
      </c>
      <c r="BG25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4837.7826000000005</v>
      </c>
    </row>
    <row r="26" spans="1:59" x14ac:dyDescent="0.25">
      <c r="A26" s="9" t="s">
        <v>103</v>
      </c>
      <c r="B26" s="9" t="s">
        <v>41</v>
      </c>
      <c r="C26" s="46" t="b">
        <v>1</v>
      </c>
      <c r="D26" s="46" t="b">
        <v>0</v>
      </c>
      <c r="E26" s="46" t="b">
        <v>1</v>
      </c>
      <c r="F26" s="46" t="b">
        <v>0</v>
      </c>
      <c r="G26" s="5" t="str">
        <f>IF(COUNTIF(Representantes_IV[[#This Row],[@-HSP]:[@-EMH]],TRUE)&lt;&gt;1,"Erro","OK")</f>
        <v>OK</v>
      </c>
      <c r="H26" s="29">
        <f>SUMIFS(Demanda_IV_REP[Demanda-IV],Demanda_IV_REP['#FK-Email-Representante],Representantes_IV[[#This Row],['#PK-Email-Representante]],Demanda_IV_REP['#FK-Cod-Linha],H$1)</f>
        <v>230</v>
      </c>
      <c r="I26" s="29">
        <f>SUMIFS(Demanda_IV_REP[Demanda-IV],Demanda_IV_REP['#FK-Email-Representante],Representantes_IV[[#This Row],['#PK-Email-Representante]],Demanda_IV_REP['#FK-Cod-Linha],I$1)</f>
        <v>222</v>
      </c>
      <c r="J26" s="29">
        <f>SUMIFS(Demanda_IV_REP[Demanda-IV],Demanda_IV_REP['#FK-Email-Representante],Representantes_IV[[#This Row],['#PK-Email-Representante]],Demanda_IV_REP['#FK-Cod-Linha],J$1)</f>
        <v>58</v>
      </c>
      <c r="K26" s="29">
        <f>SUMIFS(Demanda_IV_REP[Demanda-IV],Demanda_IV_REP['#FK-Email-Representante],Representantes_IV[[#This Row],['#PK-Email-Representante]],Demanda_IV_REP['#FK-Cod-Linha],K$1)</f>
        <v>834</v>
      </c>
      <c r="L26" s="29">
        <f>SUMIFS(Demanda_IV_REP[Demanda-IV],Demanda_IV_REP['#FK-Email-Representante],Representantes_IV[[#This Row],['#PK-Email-Representante]],Demanda_IV_REP['#FK-Cod-Linha],L$1)</f>
        <v>8885</v>
      </c>
      <c r="M26" s="29">
        <f>SUMIFS(Cota_Demanda[Cota-Representante],Cota_Demanda['#FK-Email-Representante],Representantes_IV[[#This Row],['#PK-Email-Representante]],Cota_Demanda['#FK-Cod-Linha],M$1)</f>
        <v>99.4</v>
      </c>
      <c r="N26" s="29">
        <f>SUMIFS(Cota_Demanda[Cota-Representante],Cota_Demanda['#FK-Email-Representante],Representantes_IV[[#This Row],['#PK-Email-Representante]],Cota_Demanda['#FK-Cod-Linha],N$1)</f>
        <v>0</v>
      </c>
      <c r="O26" s="29">
        <f>SUMIFS(Cota_Demanda[Cota-Representante],Cota_Demanda['#FK-Email-Representante],Representantes_IV[[#This Row],['#PK-Email-Representante]],Cota_Demanda['#FK-Cod-Linha],O$1)</f>
        <v>0</v>
      </c>
      <c r="P26" s="29">
        <f>SUMIFS(Cota_Demanda[Cota-Representante],Cota_Demanda['#FK-Email-Representante],Representantes_IV[[#This Row],['#PK-Email-Representante]],Cota_Demanda['#FK-Cod-Linha],P$1)</f>
        <v>948</v>
      </c>
      <c r="Q26" s="29">
        <f>SUMIFS(Cota_Demanda[Cota-Representante],Cota_Demanda['#FK-Email-Representante],Representantes_IV[[#This Row],['#PK-Email-Representante]],Cota_Demanda['#FK-Cod-Linha],Q$1)</f>
        <v>8162</v>
      </c>
      <c r="R26" s="34">
        <f>IF(Representantes_IV[[#This Row],[Cota BERINERT]]=0,"-",ROUNDUP(Representantes_IV[[#This Row],[Demanda BERINERT]]/Representantes_IV[[#This Row],[Cota BERINERT]],3))</f>
        <v>2.3140000000000001</v>
      </c>
      <c r="S26" s="34" t="str">
        <f>IF(Representantes_IV[[#This Row],[Cota BERIPLEX]]=0,"-",ROUNDUP(Representantes_IV[[#This Row],[Demanda BERIPLEX]]/Representantes_IV[[#This Row],[Cota BERIPLEX]],3))</f>
        <v>-</v>
      </c>
      <c r="T26" s="34" t="str">
        <f>IF(Representantes_IV[[#This Row],[Cota HAEMO]]=0,"-",ROUNDUP(Representantes_IV[[#This Row],[Demanda HAEMO]]/Representantes_IV[[#This Row],[Cota HAEMO]],3))</f>
        <v>-</v>
      </c>
      <c r="U26" s="34">
        <f>IF(Representantes_IV[[#This Row],[Cota HIZENTRA]]=0,"-",ROUNDUP(Representantes_IV[[#This Row],[Demanda HIZENTRA]]/Representantes_IV[[#This Row],[Cota HIZENTRA]],3))</f>
        <v>0.88</v>
      </c>
      <c r="V26" s="34">
        <f>IF(Representantes_IV[[#This Row],[Cota PRIVIGEN]]=0,"-",ROUNDUP(Representantes_IV[[#This Row],[Demanda PRIVIGEN]]/Representantes_IV[[#This Row],[Cota PRIVIGEN]],3))</f>
        <v>1.089</v>
      </c>
      <c r="W26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779.55079999999998</v>
      </c>
      <c r="X26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6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6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248.21430000000001</v>
      </c>
      <c r="AA26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269.23200000000003</v>
      </c>
      <c r="AB26" s="55">
        <f>SUMIFS(Cota_Demanda[%-Garantido],Cota_Demanda['#FK-Email-Representante],Representantes_IV[[#This Row],['#PK-Email-Representante]],Cota_Demanda['#FK-Cod-Linha],AB$1)</f>
        <v>0</v>
      </c>
      <c r="AC26" s="55">
        <f>SUMIFS(Cota_Demanda[%-Garantido],Cota_Demanda['#FK-Email-Representante],Representantes_IV[[#This Row],['#PK-Email-Representante]],Cota_Demanda['#FK-Cod-Linha],AC$1)</f>
        <v>0</v>
      </c>
      <c r="AD26" s="55">
        <f>SUMIFS(Cota_Demanda[%-Garantido],Cota_Demanda['#FK-Email-Representante],Representantes_IV[[#This Row],['#PK-Email-Representante]],Cota_Demanda['#FK-Cod-Linha],AD$1)</f>
        <v>0</v>
      </c>
      <c r="AE26" s="55">
        <f>SUMIFS(Cota_Demanda[%-Garantido],Cota_Demanda['#FK-Email-Representante],Representantes_IV[[#This Row],['#PK-Email-Representante]],Cota_Demanda['#FK-Cod-Linha],AE$1)</f>
        <v>0</v>
      </c>
      <c r="AF26" s="55">
        <f>SUMIFS(Cota_Demanda[%-Garantido],Cota_Demanda['#FK-Email-Representante],Representantes_IV[[#This Row],['#PK-Email-Representante]],Cota_Demanda['#FK-Cod-Linha],AF$1)</f>
        <v>0</v>
      </c>
      <c r="AG26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6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6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6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6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6" s="54">
        <f>IF(Representantes_IV[[#This Row],[Garatido BERINERT]]&gt;Representantes_IV[[#This Row],[Valor BERINERT]],Representantes_IV[[#This Row],[Garatido BERINERT]],Representantes_IV[[#This Row],[Valor BERINERT]])</f>
        <v>779.55079999999998</v>
      </c>
      <c r="AM26" s="54">
        <f>IF(Representantes_IV[[#This Row],[Garantido BERIPLEX]]&gt;Representantes_IV[[#This Row],[Valor BERIPLEX]],Representantes_IV[[#This Row],[Garantido BERIPLEX]],Representantes_IV[[#This Row],[Valor BERIPLEX]])</f>
        <v>0</v>
      </c>
      <c r="AN26" s="54">
        <f>IF(Representantes_IV[[#This Row],[Garantido HAEMO]]&gt;Representantes_IV[[#This Row],[Valor HAEMO]],Representantes_IV[[#This Row],[Garantido HAEMO]],Representantes_IV[[#This Row],[Valor HAEMO]])</f>
        <v>0</v>
      </c>
      <c r="AO26" s="54">
        <f>IF(Representantes_IV[[#This Row],[Garantido HIZENTRA]]&gt;Representantes_IV[[#This Row],[Valor HIZENTRA]],Representantes_IV[[#This Row],[Garantido HIZENTRA]],Representantes_IV[[#This Row],[Valor HIZENTRA]])</f>
        <v>248.21430000000001</v>
      </c>
      <c r="AP26" s="54">
        <f>IF(Representantes_IV[[#This Row],[Garantido PRIVIGEN]]&gt;Representantes_IV[[#This Row],[Valor PRIVIGEN]],Representantes_IV[[#This Row],[Garantido PRIVIGEN]],Representantes_IV[[#This Row],[Valor PRIVIGEN]])</f>
        <v>269.23200000000003</v>
      </c>
      <c r="AQ26" s="54">
        <f>SUM(Cota_Venda[Cota-Venda])</f>
        <v>24875647.060000017</v>
      </c>
      <c r="AR26" s="54">
        <f>SUMIFS(Venda[Venda-IV],Venda[@-Ministerio],FALSE)</f>
        <v>30797896.699999992</v>
      </c>
      <c r="AS26" s="34">
        <f>ROUNDUP(IFERROR(Representantes_IV[[#This Row],[Venda]]/Representantes_IV[[#This Row],[Cota Venda]],0),3)</f>
        <v>1.2389999999999999</v>
      </c>
      <c r="AT26" s="54">
        <f>VLOOKUP(Representantes_IV[[#This Row],[Cobertura Venda]],Valores_Representantes_ESP[],AT$1,1)</f>
        <v>631.32569999999998</v>
      </c>
      <c r="AU26" s="29">
        <f>SUMIFS(Visitas_Outros[Visitas-Meta],Visitas_Outros['#FK-Email-Representante],Representantes_IV[[#This Row],['#PK-Email-Representante]])</f>
        <v>92</v>
      </c>
      <c r="AV26" s="29">
        <f>SUMIFS(Visitas_Outros[Visitas-Realizadas],Visitas_Outros['#FK-Email-Representante],Representantes_IV[[#This Row],['#PK-Email-Representante]])</f>
        <v>82</v>
      </c>
      <c r="AW26" s="34">
        <f>ROUNDUP(IFERROR(Representantes_IV[[#This Row],[Visitas]]/Representantes_IV[[#This Row],[Meta Visitas]],0),3)</f>
        <v>0.89200000000000002</v>
      </c>
      <c r="AX26" s="53">
        <f>IF(Representantes_IV[[#This Row],[Cobertura Visitas]]&lt;Cobertura_Minima_REP,0,VLOOKUP(Representantes_IV[[#This Row],[Cobertura Visitas]],Valores_Representantes_ESP[],AX$1,1))</f>
        <v>167.73269999999999</v>
      </c>
      <c r="AY26" s="33">
        <f>SUMIFS(Visitas_Outros[%Realizado-Connect-Mind],Visitas_Outros['#FK-Email-Representante],Representantes_IV[[#This Row],['#PK-Email-Representante]])</f>
        <v>1</v>
      </c>
      <c r="AZ26" s="53">
        <f>IF(Representantes_IV[[#This Row],[Cobertura Connect Mind]]&lt;Cobertura_Minima_REP,0,VLOOKUP(Representantes_IV[[#This Row],[Cobertura Connect Mind]],Valores_Representantes_ESP[],AZ$1,1))</f>
        <v>376.08229999999998</v>
      </c>
      <c r="BA26" s="33">
        <f>SUMIFS(Visitas_Outros[%Realizado-Aval-GR],Visitas_Outros['#FK-Email-Representante],Representantes_IV[[#This Row],['#PK-Email-Representante]])</f>
        <v>1</v>
      </c>
      <c r="BB26" s="53">
        <f>IF(Representantes_IV[[#This Row],[Cobertura Gerente Conta]]&lt;Cobertura_Minima_REP,0,VLOOKUP(Representantes_IV[[#This Row],[Cobertura Gerente Conta]],Valores_Representantes_ESP[],BB$1,1))</f>
        <v>1128.2470000000001</v>
      </c>
      <c r="BC26" s="33">
        <f>SUMIFS(Visitas_Outros[%Realizado-Plateau],Visitas_Outros['#FK-Email-Representante],Representantes_IV[[#This Row],['#PK-Email-Representante]])</f>
        <v>1</v>
      </c>
      <c r="BD26" s="53">
        <f>IF(Representantes_IV[[#This Row],[Cobertura Plateau]]&lt;Cobertura_Minima_REP,0,VLOOKUP(Representantes_IV[[#This Row],[Cobertura Plateau]],Valores_Representantes_ESP[],BD$1,1))</f>
        <v>376.08229999999998</v>
      </c>
      <c r="BE26" s="33">
        <f>SUMIFS(Visitas_Outros[%Realizado-Compliance],Visitas_Outros['#FK-Email-Representante],Representantes_IV[[#This Row],['#PK-Email-Representante]])</f>
        <v>1</v>
      </c>
      <c r="BF26" s="53">
        <f>IF(Representantes_IV[[#This Row],[Cobertura Compliance]]&lt;Cobertura_Minima_REP,0,VLOOKUP(Representantes_IV[[#This Row],[Cobertura Compliance]],Valores_Representantes_ESP[],BF$1,1))</f>
        <v>376.08229999999998</v>
      </c>
      <c r="BG26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4352.5493999999999</v>
      </c>
    </row>
    <row r="27" spans="1:59" x14ac:dyDescent="0.25">
      <c r="A27" s="9" t="s">
        <v>95</v>
      </c>
      <c r="B27" s="9" t="s">
        <v>30</v>
      </c>
      <c r="C27" s="46" t="b">
        <v>1</v>
      </c>
      <c r="D27" s="46" t="b">
        <v>0</v>
      </c>
      <c r="E27" s="46" t="b">
        <v>0</v>
      </c>
      <c r="F27" s="46" t="b">
        <v>1</v>
      </c>
      <c r="G27" s="5" t="str">
        <f>IF(COUNTIF(Representantes_IV[[#This Row],[@-HSP]:[@-EMH]],TRUE)&lt;&gt;1,"Erro","OK")</f>
        <v>OK</v>
      </c>
      <c r="H27" s="29">
        <f>SUMIFS(Demanda_IV_REP[Demanda-IV],Demanda_IV_REP['#FK-Email-Representante],Representantes_IV[[#This Row],['#PK-Email-Representante]],Demanda_IV_REP['#FK-Cod-Linha],H$1)</f>
        <v>4</v>
      </c>
      <c r="I27" s="29">
        <f>SUMIFS(Demanda_IV_REP[Demanda-IV],Demanda_IV_REP['#FK-Email-Representante],Representantes_IV[[#This Row],['#PK-Email-Representante]],Demanda_IV_REP['#FK-Cod-Linha],I$1)</f>
        <v>0</v>
      </c>
      <c r="J27" s="29">
        <f>SUMIFS(Demanda_IV_REP[Demanda-IV],Demanda_IV_REP['#FK-Email-Representante],Representantes_IV[[#This Row],['#PK-Email-Representante]],Demanda_IV_REP['#FK-Cod-Linha],J$1)</f>
        <v>19</v>
      </c>
      <c r="K27" s="29">
        <f>SUMIFS(Demanda_IV_REP[Demanda-IV],Demanda_IV_REP['#FK-Email-Representante],Representantes_IV[[#This Row],['#PK-Email-Representante]],Demanda_IV_REP['#FK-Cod-Linha],K$1)</f>
        <v>282</v>
      </c>
      <c r="L27" s="29">
        <f>SUMIFS(Demanda_IV_REP[Demanda-IV],Demanda_IV_REP['#FK-Email-Representante],Representantes_IV[[#This Row],['#PK-Email-Representante]],Demanda_IV_REP['#FK-Cod-Linha],L$1)</f>
        <v>3042.5</v>
      </c>
      <c r="M27" s="29">
        <f>SUMIFS(Cota_Demanda[Cota-Representante],Cota_Demanda['#FK-Email-Representante],Representantes_IV[[#This Row],['#PK-Email-Representante]],Cota_Demanda['#FK-Cod-Linha],M$1)</f>
        <v>19.88</v>
      </c>
      <c r="N27" s="29">
        <f>SUMIFS(Cota_Demanda[Cota-Representante],Cota_Demanda['#FK-Email-Representante],Representantes_IV[[#This Row],['#PK-Email-Representante]],Cota_Demanda['#FK-Cod-Linha],N$1)</f>
        <v>64.5</v>
      </c>
      <c r="O27" s="29">
        <f>SUMIFS(Cota_Demanda[Cota-Representante],Cota_Demanda['#FK-Email-Representante],Representantes_IV[[#This Row],['#PK-Email-Representante]],Cota_Demanda['#FK-Cod-Linha],O$1)</f>
        <v>63</v>
      </c>
      <c r="P27" s="29">
        <f>SUMIFS(Cota_Demanda[Cota-Representante],Cota_Demanda['#FK-Email-Representante],Representantes_IV[[#This Row],['#PK-Email-Representante]],Cota_Demanda['#FK-Cod-Linha],P$1)</f>
        <v>395</v>
      </c>
      <c r="Q27" s="29">
        <f>SUMIFS(Cota_Demanda[Cota-Representante],Cota_Demanda['#FK-Email-Representante],Representantes_IV[[#This Row],['#PK-Email-Representante]],Cota_Demanda['#FK-Cod-Linha],Q$1)</f>
        <v>4081</v>
      </c>
      <c r="R27" s="34">
        <f>IF(Representantes_IV[[#This Row],[Cota BERINERT]]=0,"-",ROUNDUP(Representantes_IV[[#This Row],[Demanda BERINERT]]/Representantes_IV[[#This Row],[Cota BERINERT]],3))</f>
        <v>0.20200000000000001</v>
      </c>
      <c r="S27" s="34">
        <f>IF(Representantes_IV[[#This Row],[Cota BERIPLEX]]=0,"-",ROUNDUP(Representantes_IV[[#This Row],[Demanda BERIPLEX]]/Representantes_IV[[#This Row],[Cota BERIPLEX]],3))</f>
        <v>0</v>
      </c>
      <c r="T27" s="34">
        <f>IF(Representantes_IV[[#This Row],[Cota HAEMO]]=0,"-",ROUNDUP(Representantes_IV[[#This Row],[Demanda HAEMO]]/Representantes_IV[[#This Row],[Cota HAEMO]],3))</f>
        <v>0.30199999999999999</v>
      </c>
      <c r="U27" s="34">
        <f>IF(Representantes_IV[[#This Row],[Cota HIZENTRA]]=0,"-",ROUNDUP(Representantes_IV[[#This Row],[Demanda HIZENTRA]]/Representantes_IV[[#This Row],[Cota HIZENTRA]],3))</f>
        <v>0.71399999999999997</v>
      </c>
      <c r="V27" s="34">
        <f>IF(Representantes_IV[[#This Row],[Cota PRIVIGEN]]=0,"-",ROUNDUP(Representantes_IV[[#This Row],[Demanda PRIVIGEN]]/Representantes_IV[[#This Row],[Cota PRIVIGEN]],3))</f>
        <v>0.746</v>
      </c>
      <c r="W27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7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7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7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27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27" s="55">
        <f>SUMIFS(Cota_Demanda[%-Garantido],Cota_Demanda['#FK-Email-Representante],Representantes_IV[[#This Row],['#PK-Email-Representante]],Cota_Demanda['#FK-Cod-Linha],AB$1)</f>
        <v>0</v>
      </c>
      <c r="AC27" s="55">
        <f>SUMIFS(Cota_Demanda[%-Garantido],Cota_Demanda['#FK-Email-Representante],Representantes_IV[[#This Row],['#PK-Email-Representante]],Cota_Demanda['#FK-Cod-Linha],AC$1)</f>
        <v>0</v>
      </c>
      <c r="AD27" s="55">
        <f>SUMIFS(Cota_Demanda[%-Garantido],Cota_Demanda['#FK-Email-Representante],Representantes_IV[[#This Row],['#PK-Email-Representante]],Cota_Demanda['#FK-Cod-Linha],AD$1)</f>
        <v>0</v>
      </c>
      <c r="AE27" s="55">
        <f>SUMIFS(Cota_Demanda[%-Garantido],Cota_Demanda['#FK-Email-Representante],Representantes_IV[[#This Row],['#PK-Email-Representante]],Cota_Demanda['#FK-Cod-Linha],AE$1)</f>
        <v>0</v>
      </c>
      <c r="AF27" s="55">
        <f>SUMIFS(Cota_Demanda[%-Garantido],Cota_Demanda['#FK-Email-Representante],Representantes_IV[[#This Row],['#PK-Email-Representante]],Cota_Demanda['#FK-Cod-Linha],AF$1)</f>
        <v>0</v>
      </c>
      <c r="AG27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7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7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7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7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7" s="54">
        <f>IF(Representantes_IV[[#This Row],[Garatido BERINERT]]&gt;Representantes_IV[[#This Row],[Valor BERINERT]],Representantes_IV[[#This Row],[Garatido BERINERT]],Representantes_IV[[#This Row],[Valor BERINERT]])</f>
        <v>0</v>
      </c>
      <c r="AM27" s="54">
        <f>IF(Representantes_IV[[#This Row],[Garantido BERIPLEX]]&gt;Representantes_IV[[#This Row],[Valor BERIPLEX]],Representantes_IV[[#This Row],[Garantido BERIPLEX]],Representantes_IV[[#This Row],[Valor BERIPLEX]])</f>
        <v>0</v>
      </c>
      <c r="AN27" s="54">
        <f>IF(Representantes_IV[[#This Row],[Garantido HAEMO]]&gt;Representantes_IV[[#This Row],[Valor HAEMO]],Representantes_IV[[#This Row],[Garantido HAEMO]],Representantes_IV[[#This Row],[Valor HAEMO]])</f>
        <v>0</v>
      </c>
      <c r="AO27" s="54">
        <f>IF(Representantes_IV[[#This Row],[Garantido HIZENTRA]]&gt;Representantes_IV[[#This Row],[Valor HIZENTRA]],Representantes_IV[[#This Row],[Garantido HIZENTRA]],Representantes_IV[[#This Row],[Valor HIZENTRA]])</f>
        <v>0</v>
      </c>
      <c r="AP27" s="54">
        <f>IF(Representantes_IV[[#This Row],[Garantido PRIVIGEN]]&gt;Representantes_IV[[#This Row],[Valor PRIVIGEN]],Representantes_IV[[#This Row],[Garantido PRIVIGEN]],Representantes_IV[[#This Row],[Valor PRIVIGEN]])</f>
        <v>0</v>
      </c>
      <c r="AQ27" s="54">
        <f>SUM(Cota_Venda[Cota-Venda])</f>
        <v>24875647.060000017</v>
      </c>
      <c r="AR27" s="54">
        <f>SUMIFS(Venda[Venda-IV],Venda[@-Ministerio],FALSE)</f>
        <v>30797896.699999992</v>
      </c>
      <c r="AS27" s="34">
        <f>ROUNDUP(IFERROR(Representantes_IV[[#This Row],[Venda]]/Representantes_IV[[#This Row],[Cota Venda]],0),3)</f>
        <v>1.2389999999999999</v>
      </c>
      <c r="AT27" s="54">
        <f>VLOOKUP(Representantes_IV[[#This Row],[Cobertura Venda]],Valores_Representantes_ESP[],AT$1,1)</f>
        <v>631.32569999999998</v>
      </c>
      <c r="AU27" s="29">
        <f>SUMIFS(Visitas_Outros[Visitas-Meta],Visitas_Outros['#FK-Email-Representante],Representantes_IV[[#This Row],['#PK-Email-Representante]])</f>
        <v>92</v>
      </c>
      <c r="AV27" s="29">
        <f>SUMIFS(Visitas_Outros[Visitas-Realizadas],Visitas_Outros['#FK-Email-Representante],Representantes_IV[[#This Row],['#PK-Email-Representante]])</f>
        <v>124</v>
      </c>
      <c r="AW27" s="34">
        <f>ROUNDUP(IFERROR(Representantes_IV[[#This Row],[Visitas]]/Representantes_IV[[#This Row],[Meta Visitas]],0),3)</f>
        <v>1.3479999999999999</v>
      </c>
      <c r="AX27" s="53">
        <f>IF(Representantes_IV[[#This Row],[Cobertura Visitas]]&lt;Cobertura_Minima_REP,0,VLOOKUP(Representantes_IV[[#This Row],[Cobertura Visitas]],Valores_Representantes_ESP[],AX$1,1))</f>
        <v>1382.5724</v>
      </c>
      <c r="AY27" s="33">
        <f>SUMIFS(Visitas_Outros[%Realizado-Connect-Mind],Visitas_Outros['#FK-Email-Representante],Representantes_IV[[#This Row],['#PK-Email-Representante]])</f>
        <v>1</v>
      </c>
      <c r="AZ27" s="53">
        <f>IF(Representantes_IV[[#This Row],[Cobertura Connect Mind]]&lt;Cobertura_Minima_REP,0,VLOOKUP(Representantes_IV[[#This Row],[Cobertura Connect Mind]],Valores_Representantes_ESP[],AZ$1,1))</f>
        <v>376.08229999999998</v>
      </c>
      <c r="BA27" s="33">
        <f>SUMIFS(Visitas_Outros[%Realizado-Aval-GR],Visitas_Outros['#FK-Email-Representante],Representantes_IV[[#This Row],['#PK-Email-Representante]])</f>
        <v>1</v>
      </c>
      <c r="BB27" s="53">
        <f>IF(Representantes_IV[[#This Row],[Cobertura Gerente Conta]]&lt;Cobertura_Minima_REP,0,VLOOKUP(Representantes_IV[[#This Row],[Cobertura Gerente Conta]],Valores_Representantes_ESP[],BB$1,1))</f>
        <v>1128.2470000000001</v>
      </c>
      <c r="BC27" s="33">
        <f>SUMIFS(Visitas_Outros[%Realizado-Plateau],Visitas_Outros['#FK-Email-Representante],Representantes_IV[[#This Row],['#PK-Email-Representante]])</f>
        <v>1</v>
      </c>
      <c r="BD27" s="53">
        <f>IF(Representantes_IV[[#This Row],[Cobertura Plateau]]&lt;Cobertura_Minima_REP,0,VLOOKUP(Representantes_IV[[#This Row],[Cobertura Plateau]],Valores_Representantes_ESP[],BD$1,1))</f>
        <v>376.08229999999998</v>
      </c>
      <c r="BE27" s="33">
        <f>SUMIFS(Visitas_Outros[%Realizado-Compliance],Visitas_Outros['#FK-Email-Representante],Representantes_IV[[#This Row],['#PK-Email-Representante]])</f>
        <v>1</v>
      </c>
      <c r="BF27" s="53">
        <f>IF(Representantes_IV[[#This Row],[Cobertura Compliance]]&lt;Cobertura_Minima_REP,0,VLOOKUP(Representantes_IV[[#This Row],[Cobertura Compliance]],Valores_Representantes_ESP[],BF$1,1))</f>
        <v>376.08229999999998</v>
      </c>
      <c r="BG27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4270.3919999999998</v>
      </c>
    </row>
    <row r="28" spans="1:59" x14ac:dyDescent="0.25">
      <c r="A28" s="9" t="s">
        <v>97</v>
      </c>
      <c r="B28" s="9" t="s">
        <v>42</v>
      </c>
      <c r="C28" s="46" t="b">
        <v>1</v>
      </c>
      <c r="D28" s="46" t="b">
        <v>0</v>
      </c>
      <c r="E28" s="46" t="b">
        <v>0</v>
      </c>
      <c r="F28" s="46" t="b">
        <v>1</v>
      </c>
      <c r="G28" s="5" t="str">
        <f>IF(COUNTIF(Representantes_IV[[#This Row],[@-HSP]:[@-EMH]],TRUE)&lt;&gt;1,"Erro","OK")</f>
        <v>OK</v>
      </c>
      <c r="H28" s="29">
        <f>SUMIFS(Demanda_IV_REP[Demanda-IV],Demanda_IV_REP['#FK-Email-Representante],Representantes_IV[[#This Row],['#PK-Email-Representante]],Demanda_IV_REP['#FK-Cod-Linha],H$1)</f>
        <v>0</v>
      </c>
      <c r="I28" s="29">
        <f>SUMIFS(Demanda_IV_REP[Demanda-IV],Demanda_IV_REP['#FK-Email-Representante],Representantes_IV[[#This Row],['#PK-Email-Representante]],Demanda_IV_REP['#FK-Cod-Linha],I$1)</f>
        <v>6</v>
      </c>
      <c r="J28" s="29">
        <f>SUMIFS(Demanda_IV_REP[Demanda-IV],Demanda_IV_REP['#FK-Email-Representante],Representantes_IV[[#This Row],['#PK-Email-Representante]],Demanda_IV_REP['#FK-Cod-Linha],J$1)</f>
        <v>12</v>
      </c>
      <c r="K28" s="29">
        <f>SUMIFS(Demanda_IV_REP[Demanda-IV],Demanda_IV_REP['#FK-Email-Representante],Representantes_IV[[#This Row],['#PK-Email-Representante]],Demanda_IV_REP['#FK-Cod-Linha],K$1)</f>
        <v>910</v>
      </c>
      <c r="L28" s="29">
        <f>SUMIFS(Demanda_IV_REP[Demanda-IV],Demanda_IV_REP['#FK-Email-Representante],Representantes_IV[[#This Row],['#PK-Email-Representante]],Demanda_IV_REP['#FK-Cod-Linha],L$1)</f>
        <v>1120</v>
      </c>
      <c r="M28" s="29">
        <f>SUMIFS(Cota_Demanda[Cota-Representante],Cota_Demanda['#FK-Email-Representante],Representantes_IV[[#This Row],['#PK-Email-Representante]],Cota_Demanda['#FK-Cod-Linha],M$1)</f>
        <v>19.88</v>
      </c>
      <c r="N28" s="29">
        <f>SUMIFS(Cota_Demanda[Cota-Representante],Cota_Demanda['#FK-Email-Representante],Representantes_IV[[#This Row],['#PK-Email-Representante]],Cota_Demanda['#FK-Cod-Linha],N$1)</f>
        <v>86</v>
      </c>
      <c r="O28" s="29">
        <f>SUMIFS(Cota_Demanda[Cota-Representante],Cota_Demanda['#FK-Email-Representante],Representantes_IV[[#This Row],['#PK-Email-Representante]],Cota_Demanda['#FK-Cod-Linha],O$1)</f>
        <v>21</v>
      </c>
      <c r="P28" s="29">
        <f>SUMIFS(Cota_Demanda[Cota-Representante],Cota_Demanda['#FK-Email-Representante],Representantes_IV[[#This Row],['#PK-Email-Representante]],Cota_Demanda['#FK-Cod-Linha],P$1)</f>
        <v>632</v>
      </c>
      <c r="Q28" s="29">
        <f>SUMIFS(Cota_Demanda[Cota-Representante],Cota_Demanda['#FK-Email-Representante],Representantes_IV[[#This Row],['#PK-Email-Representante]],Cota_Demanda['#FK-Cod-Linha],Q$1)</f>
        <v>4761.17</v>
      </c>
      <c r="R28" s="34">
        <f>IF(Representantes_IV[[#This Row],[Cota BERINERT]]=0,"-",ROUNDUP(Representantes_IV[[#This Row],[Demanda BERINERT]]/Representantes_IV[[#This Row],[Cota BERINERT]],3))</f>
        <v>0</v>
      </c>
      <c r="S28" s="34">
        <f>IF(Representantes_IV[[#This Row],[Cota BERIPLEX]]=0,"-",ROUNDUP(Representantes_IV[[#This Row],[Demanda BERIPLEX]]/Representantes_IV[[#This Row],[Cota BERIPLEX]],3))</f>
        <v>7.0000000000000007E-2</v>
      </c>
      <c r="T28" s="34">
        <f>IF(Representantes_IV[[#This Row],[Cota HAEMO]]=0,"-",ROUNDUP(Representantes_IV[[#This Row],[Demanda HAEMO]]/Representantes_IV[[#This Row],[Cota HAEMO]],3))</f>
        <v>0.57199999999999995</v>
      </c>
      <c r="U28" s="34">
        <f>IF(Representantes_IV[[#This Row],[Cota HIZENTRA]]=0,"-",ROUNDUP(Representantes_IV[[#This Row],[Demanda HIZENTRA]]/Representantes_IV[[#This Row],[Cota HIZENTRA]],3))</f>
        <v>1.44</v>
      </c>
      <c r="V28" s="34">
        <f>IF(Representantes_IV[[#This Row],[Cota PRIVIGEN]]=0,"-",ROUNDUP(Representantes_IV[[#This Row],[Demanda PRIVIGEN]]/Representantes_IV[[#This Row],[Cota PRIVIGEN]],3))</f>
        <v>0.23599999999999999</v>
      </c>
      <c r="W28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8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8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8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1487.383</v>
      </c>
      <c r="AA28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28" s="55">
        <f>SUMIFS(Cota_Demanda[%-Garantido],Cota_Demanda['#FK-Email-Representante],Representantes_IV[[#This Row],['#PK-Email-Representante]],Cota_Demanda['#FK-Cod-Linha],AB$1)</f>
        <v>0</v>
      </c>
      <c r="AC28" s="55">
        <f>SUMIFS(Cota_Demanda[%-Garantido],Cota_Demanda['#FK-Email-Representante],Representantes_IV[[#This Row],['#PK-Email-Representante]],Cota_Demanda['#FK-Cod-Linha],AC$1)</f>
        <v>0</v>
      </c>
      <c r="AD28" s="55">
        <f>SUMIFS(Cota_Demanda[%-Garantido],Cota_Demanda['#FK-Email-Representante],Representantes_IV[[#This Row],['#PK-Email-Representante]],Cota_Demanda['#FK-Cod-Linha],AD$1)</f>
        <v>0</v>
      </c>
      <c r="AE28" s="55">
        <f>SUMIFS(Cota_Demanda[%-Garantido],Cota_Demanda['#FK-Email-Representante],Representantes_IV[[#This Row],['#PK-Email-Representante]],Cota_Demanda['#FK-Cod-Linha],AE$1)</f>
        <v>0</v>
      </c>
      <c r="AF28" s="55">
        <f>SUMIFS(Cota_Demanda[%-Garantido],Cota_Demanda['#FK-Email-Representante],Representantes_IV[[#This Row],['#PK-Email-Representante]],Cota_Demanda['#FK-Cod-Linha],AF$1)</f>
        <v>0</v>
      </c>
      <c r="AG28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8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8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8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8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8" s="54">
        <f>IF(Representantes_IV[[#This Row],[Garatido BERINERT]]&gt;Representantes_IV[[#This Row],[Valor BERINERT]],Representantes_IV[[#This Row],[Garatido BERINERT]],Representantes_IV[[#This Row],[Valor BERINERT]])</f>
        <v>0</v>
      </c>
      <c r="AM28" s="54">
        <f>IF(Representantes_IV[[#This Row],[Garantido BERIPLEX]]&gt;Representantes_IV[[#This Row],[Valor BERIPLEX]],Representantes_IV[[#This Row],[Garantido BERIPLEX]],Representantes_IV[[#This Row],[Valor BERIPLEX]])</f>
        <v>0</v>
      </c>
      <c r="AN28" s="54">
        <f>IF(Representantes_IV[[#This Row],[Garantido HAEMO]]&gt;Representantes_IV[[#This Row],[Valor HAEMO]],Representantes_IV[[#This Row],[Garantido HAEMO]],Representantes_IV[[#This Row],[Valor HAEMO]])</f>
        <v>0</v>
      </c>
      <c r="AO28" s="54">
        <f>IF(Representantes_IV[[#This Row],[Garantido HIZENTRA]]&gt;Representantes_IV[[#This Row],[Valor HIZENTRA]],Representantes_IV[[#This Row],[Garantido HIZENTRA]],Representantes_IV[[#This Row],[Valor HIZENTRA]])</f>
        <v>1487.383</v>
      </c>
      <c r="AP28" s="54">
        <f>IF(Representantes_IV[[#This Row],[Garantido PRIVIGEN]]&gt;Representantes_IV[[#This Row],[Valor PRIVIGEN]],Representantes_IV[[#This Row],[Garantido PRIVIGEN]],Representantes_IV[[#This Row],[Valor PRIVIGEN]])</f>
        <v>0</v>
      </c>
      <c r="AQ28" s="54">
        <f>SUM(Cota_Venda[Cota-Venda])</f>
        <v>24875647.060000017</v>
      </c>
      <c r="AR28" s="54">
        <f>SUMIFS(Venda[Venda-IV],Venda[@-Ministerio],FALSE)</f>
        <v>30797896.699999992</v>
      </c>
      <c r="AS28" s="34">
        <f>ROUNDUP(IFERROR(Representantes_IV[[#This Row],[Venda]]/Representantes_IV[[#This Row],[Cota Venda]],0),3)</f>
        <v>1.2389999999999999</v>
      </c>
      <c r="AT28" s="54">
        <f>VLOOKUP(Representantes_IV[[#This Row],[Cobertura Venda]],Valores_Representantes_ESP[],AT$1,1)</f>
        <v>631.32569999999998</v>
      </c>
      <c r="AU28" s="29">
        <f>SUMIFS(Visitas_Outros[Visitas-Meta],Visitas_Outros['#FK-Email-Representante],Representantes_IV[[#This Row],['#PK-Email-Representante]])</f>
        <v>92</v>
      </c>
      <c r="AV28" s="29">
        <f>SUMIFS(Visitas_Outros[Visitas-Realizadas],Visitas_Outros['#FK-Email-Representante],Representantes_IV[[#This Row],['#PK-Email-Representante]])</f>
        <v>138</v>
      </c>
      <c r="AW28" s="34">
        <f>ROUNDUP(IFERROR(Representantes_IV[[#This Row],[Visitas]]/Representantes_IV[[#This Row],[Meta Visitas]],0),3)</f>
        <v>1.5</v>
      </c>
      <c r="AX28" s="53">
        <f>IF(Representantes_IV[[#This Row],[Cobertura Visitas]]&lt;Cobertura_Minima_REP,0,VLOOKUP(Representantes_IV[[#This Row],[Cobertura Visitas]],Valores_Representantes_ESP[],AX$1,1))</f>
        <v>1559.1016</v>
      </c>
      <c r="AY28" s="33">
        <f>SUMIFS(Visitas_Outros[%Realizado-Connect-Mind],Visitas_Outros['#FK-Email-Representante],Representantes_IV[[#This Row],['#PK-Email-Representante]])</f>
        <v>1</v>
      </c>
      <c r="AZ28" s="53">
        <f>IF(Representantes_IV[[#This Row],[Cobertura Connect Mind]]&lt;Cobertura_Minima_REP,0,VLOOKUP(Representantes_IV[[#This Row],[Cobertura Connect Mind]],Valores_Representantes_ESP[],AZ$1,1))</f>
        <v>376.08229999999998</v>
      </c>
      <c r="BA28" s="33">
        <f>SUMIFS(Visitas_Outros[%Realizado-Aval-GR],Visitas_Outros['#FK-Email-Representante],Representantes_IV[[#This Row],['#PK-Email-Representante]])</f>
        <v>1</v>
      </c>
      <c r="BB28" s="53">
        <f>IF(Representantes_IV[[#This Row],[Cobertura Gerente Conta]]&lt;Cobertura_Minima_REP,0,VLOOKUP(Representantes_IV[[#This Row],[Cobertura Gerente Conta]],Valores_Representantes_ESP[],BB$1,1))</f>
        <v>1128.2470000000001</v>
      </c>
      <c r="BC28" s="33">
        <f>SUMIFS(Visitas_Outros[%Realizado-Plateau],Visitas_Outros['#FK-Email-Representante],Representantes_IV[[#This Row],['#PK-Email-Representante]])</f>
        <v>1</v>
      </c>
      <c r="BD28" s="53">
        <f>IF(Representantes_IV[[#This Row],[Cobertura Plateau]]&lt;Cobertura_Minima_REP,0,VLOOKUP(Representantes_IV[[#This Row],[Cobertura Plateau]],Valores_Representantes_ESP[],BD$1,1))</f>
        <v>376.08229999999998</v>
      </c>
      <c r="BE28" s="33">
        <f>SUMIFS(Visitas_Outros[%Realizado-Compliance],Visitas_Outros['#FK-Email-Representante],Representantes_IV[[#This Row],['#PK-Email-Representante]])</f>
        <v>1</v>
      </c>
      <c r="BF28" s="53">
        <f>IF(Representantes_IV[[#This Row],[Cobertura Compliance]]&lt;Cobertura_Minima_REP,0,VLOOKUP(Representantes_IV[[#This Row],[Cobertura Compliance]],Valores_Representantes_ESP[],BF$1,1))</f>
        <v>376.08229999999998</v>
      </c>
      <c r="BG28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5934.3042000000005</v>
      </c>
    </row>
  </sheetData>
  <conditionalFormatting sqref="C10:F28">
    <cfRule type="cellIs" dxfId="348" priority="25" operator="equal">
      <formula>FALSE</formula>
    </cfRule>
    <cfRule type="cellIs" dxfId="347" priority="26" operator="equal">
      <formula>TRUE</formula>
    </cfRule>
  </conditionalFormatting>
  <conditionalFormatting sqref="G10:G28">
    <cfRule type="cellIs" dxfId="346" priority="23" operator="equal">
      <formula>"Erro"</formula>
    </cfRule>
    <cfRule type="cellIs" dxfId="345" priority="24" operator="equal">
      <formula>"OK"</formula>
    </cfRule>
  </conditionalFormatting>
  <conditionalFormatting sqref="R10:V28">
    <cfRule type="cellIs" dxfId="344" priority="19" stopIfTrue="1" operator="equal">
      <formula>"-"</formula>
    </cfRule>
    <cfRule type="cellIs" dxfId="343" priority="20" operator="greaterThanOrEqual">
      <formula>1</formula>
    </cfRule>
    <cfRule type="cellIs" dxfId="342" priority="21" operator="greaterThanOrEqual">
      <formula>$S$1</formula>
    </cfRule>
    <cfRule type="cellIs" dxfId="341" priority="22" operator="lessThan">
      <formula>$S$1</formula>
    </cfRule>
  </conditionalFormatting>
  <conditionalFormatting sqref="W10:AA28">
    <cfRule type="cellIs" dxfId="340" priority="18" operator="equal">
      <formula>0</formula>
    </cfRule>
  </conditionalFormatting>
  <conditionalFormatting sqref="AB10:AF28">
    <cfRule type="cellIs" dxfId="339" priority="16" operator="equal">
      <formula>1</formula>
    </cfRule>
    <cfRule type="cellIs" dxfId="338" priority="17" operator="equal">
      <formula>0</formula>
    </cfRule>
  </conditionalFormatting>
  <conditionalFormatting sqref="AG10:AK28">
    <cfRule type="cellIs" dxfId="337" priority="15" operator="equal">
      <formula>0</formula>
    </cfRule>
  </conditionalFormatting>
  <conditionalFormatting sqref="AL10:AP28">
    <cfRule type="cellIs" dxfId="336" priority="14" operator="equal">
      <formula>0</formula>
    </cfRule>
  </conditionalFormatting>
  <conditionalFormatting sqref="AS10:AS28 AY10:AY28 BE10:BE28 BC10:BC28 BA10:BA28">
    <cfRule type="cellIs" dxfId="335" priority="11" operator="greaterThanOrEqual">
      <formula>1</formula>
    </cfRule>
    <cfRule type="cellIs" dxfId="334" priority="12" operator="greaterThanOrEqual">
      <formula>$S$1</formula>
    </cfRule>
    <cfRule type="cellIs" dxfId="333" priority="13" operator="lessThan">
      <formula>$S$1</formula>
    </cfRule>
  </conditionalFormatting>
  <conditionalFormatting sqref="AW10">
    <cfRule type="cellIs" dxfId="332" priority="8" operator="greaterThanOrEqual">
      <formula>1</formula>
    </cfRule>
    <cfRule type="cellIs" dxfId="331" priority="9" operator="greaterThanOrEqual">
      <formula>$S$1</formula>
    </cfRule>
    <cfRule type="cellIs" dxfId="330" priority="10" operator="lessThan">
      <formula>$S$1</formula>
    </cfRule>
  </conditionalFormatting>
  <conditionalFormatting sqref="AW10:AW28">
    <cfRule type="cellIs" dxfId="329" priority="5" operator="greaterThanOrEqual">
      <formula>1</formula>
    </cfRule>
    <cfRule type="cellIs" dxfId="328" priority="6" operator="greaterThanOrEqual">
      <formula>$S$1</formula>
    </cfRule>
    <cfRule type="cellIs" dxfId="327" priority="7" operator="lessThan">
      <formula>$S$1</formula>
    </cfRule>
  </conditionalFormatting>
  <conditionalFormatting sqref="BF10:BG28 BD10:BD28 BB10:BB28 AZ10:AZ28 AX10:AX28 AT10:AV28 AQ10:AR28">
    <cfRule type="cellIs" dxfId="326" priority="1" operator="equal">
      <formula>0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5E700-E37B-45A0-A5B6-5D51EDCAFB57}">
  <sheetPr codeName="Planilha6">
    <tabColor theme="9" tint="-0.249977111117893"/>
  </sheetPr>
  <dimension ref="B1:R1500"/>
  <sheetViews>
    <sheetView showGridLines="0" workbookViewId="0">
      <selection activeCell="B2" sqref="B2:G5"/>
    </sheetView>
  </sheetViews>
  <sheetFormatPr defaultRowHeight="15" x14ac:dyDescent="0.25"/>
  <cols>
    <col min="1" max="1" width="4.140625" style="1" customWidth="1"/>
    <col min="2" max="2" width="24.140625" style="1" bestFit="1" customWidth="1"/>
    <col min="3" max="3" width="22" style="1" customWidth="1"/>
    <col min="4" max="4" width="22.5703125" style="1" customWidth="1"/>
    <col min="5" max="5" width="9.7109375" style="1" customWidth="1"/>
    <col min="6" max="6" width="13.85546875" style="1" customWidth="1"/>
    <col min="7" max="7" width="17.85546875" style="1" customWidth="1"/>
    <col min="8" max="8" width="4.140625" style="1" customWidth="1"/>
    <col min="9" max="9" width="110.85546875" style="1" bestFit="1" customWidth="1"/>
    <col min="10" max="14" width="12.28515625" style="1" customWidth="1"/>
    <col min="15" max="15" width="15.5703125" style="1" customWidth="1"/>
    <col min="16" max="16" width="11" style="1" customWidth="1"/>
    <col min="17" max="17" width="24.140625" style="93" bestFit="1" customWidth="1"/>
    <col min="18" max="18" width="29.42578125" style="93" bestFit="1" customWidth="1"/>
    <col min="19" max="16384" width="9.140625" style="1"/>
  </cols>
  <sheetData>
    <row r="1" spans="2:18" x14ac:dyDescent="0.25">
      <c r="I1"/>
      <c r="J1"/>
      <c r="K1"/>
      <c r="P1" s="96">
        <v>1</v>
      </c>
      <c r="Q1" s="97" t="s">
        <v>110</v>
      </c>
      <c r="R1" s="97" t="str">
        <f>IFERROR(VLOOKUP($J$3,Gerentes_IV[],P1,0),"Erro")</f>
        <v>claudia.bueno@cslbehring.com</v>
      </c>
    </row>
    <row r="2" spans="2:18" x14ac:dyDescent="0.25">
      <c r="B2" s="117" t="s">
        <v>289</v>
      </c>
      <c r="C2" s="117"/>
      <c r="D2" s="117"/>
      <c r="E2" s="117"/>
      <c r="F2" s="117"/>
      <c r="G2" s="117"/>
      <c r="I2"/>
      <c r="J2"/>
      <c r="K2"/>
      <c r="P2" s="96">
        <f t="shared" ref="P2:P41" si="0">P1+1</f>
        <v>2</v>
      </c>
      <c r="Q2" s="97" t="s">
        <v>151</v>
      </c>
      <c r="R2" s="97" t="str">
        <f>IFERROR(VLOOKUP($J$3,Gerentes_IV[],P2,0),"Erro")</f>
        <v>CLAUDIA BUENO (SPC/SPI)</v>
      </c>
    </row>
    <row r="3" spans="2:18" x14ac:dyDescent="0.25">
      <c r="B3" s="117" t="str">
        <f>"Relatório atualizado em " &amp; TEXT(Ultima_Atualizacao_RPT[[#This Row],[Ultima-Atualizacao-RPT]],"dd/mm/aaaa") &amp; " Dados Atualizados em " &amp; TEXT(Ultima_Atualizacao_DADOS[[#This Row],[Ultima-Atualizacao-Dados]],"dd/mm/aaaa")</f>
        <v>Relatório atualizado em 18/08/2020 Dados Atualizados em 18/08/2020</v>
      </c>
      <c r="C3" s="117"/>
      <c r="D3" s="117"/>
      <c r="E3" s="117"/>
      <c r="F3" s="117"/>
      <c r="G3" s="117"/>
      <c r="I3" s="65" t="s">
        <v>110</v>
      </c>
      <c r="J3" t="s" vm="13">
        <v>112</v>
      </c>
      <c r="K3"/>
      <c r="P3" s="96">
        <f t="shared" si="0"/>
        <v>3</v>
      </c>
      <c r="Q3" s="97" t="s">
        <v>152</v>
      </c>
      <c r="R3" s="97" t="b">
        <f>IFERROR(VLOOKUP($J$3,Gerentes_IV[],P3,0),"Erro")</f>
        <v>1</v>
      </c>
    </row>
    <row r="4" spans="2:18" ht="21" x14ac:dyDescent="0.25">
      <c r="B4" s="79" t="s">
        <v>282</v>
      </c>
      <c r="I4" s="65" t="s">
        <v>52</v>
      </c>
      <c r="J4" t="s" vm="1">
        <v>53</v>
      </c>
      <c r="K4"/>
      <c r="L4"/>
      <c r="M4"/>
      <c r="N4"/>
      <c r="O4"/>
      <c r="P4" s="96">
        <f t="shared" si="0"/>
        <v>4</v>
      </c>
      <c r="Q4" s="97" t="s">
        <v>153</v>
      </c>
      <c r="R4" s="97" t="b">
        <f>IFERROR(VLOOKUP($J$3,Gerentes_IV[],P4,0),"Erro")</f>
        <v>1</v>
      </c>
    </row>
    <row r="5" spans="2:18" x14ac:dyDescent="0.25">
      <c r="B5" s="78" t="s">
        <v>280</v>
      </c>
      <c r="C5" s="118" t="str" cm="1">
        <f t="array" ref="C5">Datas[AnoMes-Fiscal]</f>
        <v>2020/2021 (01-Jul)</v>
      </c>
      <c r="D5" s="118"/>
      <c r="E5" s="118"/>
      <c r="F5" s="118"/>
      <c r="G5" s="118"/>
      <c r="I5" s="65" t="s">
        <v>153</v>
      </c>
      <c r="J5" t="s" vm="14">
        <v>286</v>
      </c>
      <c r="K5"/>
      <c r="L5"/>
      <c r="M5"/>
      <c r="N5"/>
      <c r="O5"/>
      <c r="P5" s="96">
        <f t="shared" si="0"/>
        <v>5</v>
      </c>
      <c r="Q5" s="98" t="s">
        <v>165</v>
      </c>
      <c r="R5" s="100">
        <f>IFERROR(VLOOKUP($J$3,Gerentes_IV[],P5,0),"Erro")</f>
        <v>79.52</v>
      </c>
    </row>
    <row r="6" spans="2:18" ht="15.75" x14ac:dyDescent="0.25">
      <c r="B6" s="78" t="s">
        <v>439</v>
      </c>
      <c r="C6" s="119" t="str">
        <f>R2</f>
        <v>CLAUDIA BUENO (SPC/SPI)</v>
      </c>
      <c r="D6" s="119"/>
      <c r="E6" s="119"/>
      <c r="F6" s="119"/>
      <c r="G6" s="119"/>
      <c r="I6" s="65" t="s">
        <v>108</v>
      </c>
      <c r="J6" t="s" vm="3">
        <v>287</v>
      </c>
      <c r="K6"/>
      <c r="L6"/>
      <c r="M6"/>
      <c r="N6"/>
      <c r="O6"/>
      <c r="P6" s="96">
        <f t="shared" si="0"/>
        <v>6</v>
      </c>
      <c r="Q6" s="98" t="s">
        <v>166</v>
      </c>
      <c r="R6" s="100">
        <f>IFERROR(VLOOKUP($J$3,Gerentes_IV[],P6,0),"Erro")</f>
        <v>688</v>
      </c>
    </row>
    <row r="7" spans="2:18" x14ac:dyDescent="0.25">
      <c r="B7" s="78" t="s">
        <v>279</v>
      </c>
      <c r="C7" s="118" t="str">
        <f>R1</f>
        <v>claudia.bueno@cslbehring.com</v>
      </c>
      <c r="D7" s="118"/>
      <c r="E7" s="118"/>
      <c r="F7" s="118"/>
      <c r="G7" s="118"/>
      <c r="I7" s="65" t="s">
        <v>109</v>
      </c>
      <c r="J7" t="s" vm="4">
        <v>287</v>
      </c>
      <c r="K7"/>
      <c r="L7"/>
      <c r="M7"/>
      <c r="N7"/>
      <c r="O7"/>
      <c r="P7" s="96">
        <f t="shared" si="0"/>
        <v>7</v>
      </c>
      <c r="Q7" s="98" t="s">
        <v>167</v>
      </c>
      <c r="R7" s="100">
        <f>IFERROR(VLOOKUP($J$3,Gerentes_IV[],P7,0),"Erro")</f>
        <v>777</v>
      </c>
    </row>
    <row r="8" spans="2:18" x14ac:dyDescent="0.25">
      <c r="B8" s="78"/>
      <c r="C8" s="118"/>
      <c r="D8" s="118"/>
      <c r="E8" s="118"/>
      <c r="F8" s="118"/>
      <c r="G8" s="118"/>
      <c r="I8" s="65" t="s">
        <v>92</v>
      </c>
      <c r="J8" t="s" vm="5">
        <v>286</v>
      </c>
      <c r="K8"/>
      <c r="L8"/>
      <c r="M8"/>
      <c r="N8"/>
      <c r="O8"/>
      <c r="P8" s="96">
        <f t="shared" si="0"/>
        <v>8</v>
      </c>
      <c r="Q8" s="98" t="s">
        <v>168</v>
      </c>
      <c r="R8" s="100">
        <f>IFERROR(VLOOKUP($J$3,Gerentes_IV[],P8,0),"Erro")</f>
        <v>3239</v>
      </c>
    </row>
    <row r="9" spans="2:18" x14ac:dyDescent="0.25">
      <c r="I9"/>
      <c r="J9"/>
      <c r="K9"/>
      <c r="L9"/>
      <c r="M9"/>
      <c r="N9"/>
      <c r="O9"/>
      <c r="P9" s="96">
        <f t="shared" si="0"/>
        <v>9</v>
      </c>
      <c r="Q9" s="98" t="s">
        <v>169</v>
      </c>
      <c r="R9" s="100">
        <f>IFERROR(VLOOKUP($J$3,Gerentes_IV[],P9,0),"Erro")</f>
        <v>28567</v>
      </c>
    </row>
    <row r="10" spans="2:18" ht="15.75" x14ac:dyDescent="0.25">
      <c r="B10" s="116" t="s">
        <v>281</v>
      </c>
      <c r="C10" s="116"/>
      <c r="D10" s="116"/>
      <c r="E10" s="116"/>
      <c r="F10" s="116"/>
      <c r="G10" s="80">
        <f>IF(SUM(G13:G23)&lt;&gt;R41,"Erro",SUM(G13:G23))</f>
        <v>6784.1322</v>
      </c>
      <c r="I10" s="65" t="s">
        <v>288</v>
      </c>
      <c r="J10"/>
      <c r="K10"/>
      <c r="L10"/>
      <c r="M10"/>
      <c r="N10"/>
      <c r="O10" s="45"/>
      <c r="P10" s="96">
        <f t="shared" si="0"/>
        <v>10</v>
      </c>
      <c r="Q10" s="98" t="s">
        <v>178</v>
      </c>
      <c r="R10" s="100">
        <f>IFERROR(VLOOKUP($J$3,Gerentes_IV[],P10,0),"Erro")</f>
        <v>6</v>
      </c>
    </row>
    <row r="11" spans="2:18" x14ac:dyDescent="0.25">
      <c r="I11"/>
      <c r="J11" s="45" t="s">
        <v>6</v>
      </c>
      <c r="K11" s="45" t="s">
        <v>8</v>
      </c>
      <c r="L11" s="45" t="s">
        <v>10</v>
      </c>
      <c r="M11" s="45" t="s">
        <v>11</v>
      </c>
      <c r="N11" s="45" t="s">
        <v>12</v>
      </c>
      <c r="O11" s="85"/>
      <c r="P11" s="96">
        <f t="shared" si="0"/>
        <v>11</v>
      </c>
      <c r="Q11" s="98" t="s">
        <v>179</v>
      </c>
      <c r="R11" s="100">
        <f>IFERROR(VLOOKUP($J$3,Gerentes_IV[],P11,0),"Erro")</f>
        <v>467</v>
      </c>
    </row>
    <row r="12" spans="2:18" x14ac:dyDescent="0.25">
      <c r="B12" s="81" t="s">
        <v>283</v>
      </c>
      <c r="C12" s="81" t="s">
        <v>270</v>
      </c>
      <c r="D12" s="81" t="s">
        <v>273</v>
      </c>
      <c r="E12" s="81" t="s">
        <v>271</v>
      </c>
      <c r="F12" s="81" t="s">
        <v>213</v>
      </c>
      <c r="G12" s="81" t="s">
        <v>272</v>
      </c>
      <c r="I12" s="66" t="s">
        <v>366</v>
      </c>
      <c r="J12" s="85"/>
      <c r="K12" s="85"/>
      <c r="L12" s="85"/>
      <c r="M12" s="85"/>
      <c r="N12" s="85">
        <v>250</v>
      </c>
      <c r="O12" s="85"/>
      <c r="P12" s="96">
        <f t="shared" si="0"/>
        <v>12</v>
      </c>
      <c r="Q12" s="98" t="s">
        <v>180</v>
      </c>
      <c r="R12" s="100">
        <f>IFERROR(VLOOKUP($J$3,Gerentes_IV[],P12,0),"Erro")</f>
        <v>278</v>
      </c>
    </row>
    <row r="13" spans="2:18" x14ac:dyDescent="0.25">
      <c r="B13" s="71" t="str">
        <f>Q10</f>
        <v>Demanda BERINERT</v>
      </c>
      <c r="C13" s="72">
        <f>R5</f>
        <v>79.52</v>
      </c>
      <c r="D13" s="72">
        <f>R10</f>
        <v>6</v>
      </c>
      <c r="E13" s="73">
        <f>R15</f>
        <v>7.5999999999999998E-2</v>
      </c>
      <c r="F13" s="90"/>
      <c r="G13" s="74">
        <f>R20</f>
        <v>0</v>
      </c>
      <c r="I13" s="66" t="s">
        <v>312</v>
      </c>
      <c r="J13" s="85"/>
      <c r="K13" s="85"/>
      <c r="L13" s="85"/>
      <c r="M13" s="85">
        <v>36</v>
      </c>
      <c r="N13" s="85"/>
      <c r="O13" s="85"/>
      <c r="P13" s="96">
        <f t="shared" si="0"/>
        <v>13</v>
      </c>
      <c r="Q13" s="98" t="s">
        <v>181</v>
      </c>
      <c r="R13" s="100">
        <f>IFERROR(VLOOKUP($J$3,Gerentes_IV[],P13,0),"Erro")</f>
        <v>2188</v>
      </c>
    </row>
    <row r="14" spans="2:18" x14ac:dyDescent="0.25">
      <c r="B14" s="71" t="str">
        <f t="shared" ref="B14:B17" si="1">Q11</f>
        <v>Demanda BERIPLEX</v>
      </c>
      <c r="C14" s="72">
        <f t="shared" ref="C14:C17" si="2">R6</f>
        <v>688</v>
      </c>
      <c r="D14" s="72">
        <f t="shared" ref="D14:D17" si="3">R11</f>
        <v>467</v>
      </c>
      <c r="E14" s="73">
        <f t="shared" ref="E14:E17" si="4">R16</f>
        <v>0.67900000000000005</v>
      </c>
      <c r="F14" s="90"/>
      <c r="G14" s="74">
        <f t="shared" ref="G14:G17" si="5">R21</f>
        <v>0</v>
      </c>
      <c r="I14" s="66" t="s">
        <v>313</v>
      </c>
      <c r="J14" s="85"/>
      <c r="K14" s="85"/>
      <c r="L14" s="85"/>
      <c r="M14" s="85">
        <v>66</v>
      </c>
      <c r="N14" s="85"/>
      <c r="O14" s="85"/>
      <c r="P14" s="96">
        <f t="shared" si="0"/>
        <v>14</v>
      </c>
      <c r="Q14" s="98" t="s">
        <v>182</v>
      </c>
      <c r="R14" s="100">
        <f>IFERROR(VLOOKUP($J$3,Gerentes_IV[],P14,0),"Erro")</f>
        <v>27775</v>
      </c>
    </row>
    <row r="15" spans="2:18" x14ac:dyDescent="0.25">
      <c r="B15" s="71" t="str">
        <f t="shared" si="1"/>
        <v>Demanda HAEMO</v>
      </c>
      <c r="C15" s="72">
        <f t="shared" si="2"/>
        <v>777</v>
      </c>
      <c r="D15" s="72">
        <f t="shared" si="3"/>
        <v>278</v>
      </c>
      <c r="E15" s="73">
        <f t="shared" si="4"/>
        <v>0.35799999999999998</v>
      </c>
      <c r="F15" s="90"/>
      <c r="G15" s="74">
        <f t="shared" si="5"/>
        <v>0</v>
      </c>
      <c r="I15" s="66" t="s">
        <v>367</v>
      </c>
      <c r="J15" s="85"/>
      <c r="K15" s="85"/>
      <c r="L15" s="85"/>
      <c r="M15" s="85"/>
      <c r="N15" s="85">
        <v>125</v>
      </c>
      <c r="O15" s="85"/>
      <c r="P15" s="96">
        <f t="shared" si="0"/>
        <v>15</v>
      </c>
      <c r="Q15" s="97" t="s">
        <v>184</v>
      </c>
      <c r="R15" s="99">
        <f>IFERROR(VLOOKUP($J$3,Gerentes_IV[],P15,0),"Erro")</f>
        <v>7.5999999999999998E-2</v>
      </c>
    </row>
    <row r="16" spans="2:18" x14ac:dyDescent="0.25">
      <c r="B16" s="71" t="str">
        <f t="shared" si="1"/>
        <v>Demanda HIZENTRA</v>
      </c>
      <c r="C16" s="72">
        <f t="shared" si="2"/>
        <v>3239</v>
      </c>
      <c r="D16" s="72">
        <f t="shared" si="3"/>
        <v>2188</v>
      </c>
      <c r="E16" s="73">
        <f t="shared" si="4"/>
        <v>0.67600000000000005</v>
      </c>
      <c r="F16" s="90"/>
      <c r="G16" s="74">
        <f t="shared" si="5"/>
        <v>0</v>
      </c>
      <c r="I16" s="66" t="s">
        <v>368</v>
      </c>
      <c r="J16" s="85"/>
      <c r="K16" s="85"/>
      <c r="L16" s="85"/>
      <c r="M16" s="85">
        <v>30</v>
      </c>
      <c r="N16" s="85">
        <v>125</v>
      </c>
      <c r="O16" s="85"/>
      <c r="P16" s="96">
        <f t="shared" si="0"/>
        <v>16</v>
      </c>
      <c r="Q16" s="97" t="s">
        <v>185</v>
      </c>
      <c r="R16" s="99">
        <f>IFERROR(VLOOKUP($J$3,Gerentes_IV[],P16,0),"Erro")</f>
        <v>0.67900000000000005</v>
      </c>
    </row>
    <row r="17" spans="2:18" x14ac:dyDescent="0.25">
      <c r="B17" s="71" t="str">
        <f t="shared" si="1"/>
        <v>Demanda PRIVIGEN</v>
      </c>
      <c r="C17" s="72">
        <f t="shared" si="2"/>
        <v>28567</v>
      </c>
      <c r="D17" s="72">
        <f t="shared" si="3"/>
        <v>27775</v>
      </c>
      <c r="E17" s="73">
        <f t="shared" si="4"/>
        <v>0.97299999999999998</v>
      </c>
      <c r="F17" s="90"/>
      <c r="G17" s="74">
        <f t="shared" si="5"/>
        <v>205.83459999999999</v>
      </c>
      <c r="I17" s="66" t="s">
        <v>369</v>
      </c>
      <c r="J17" s="85"/>
      <c r="K17" s="85"/>
      <c r="L17" s="85"/>
      <c r="M17" s="85"/>
      <c r="N17" s="85">
        <v>100</v>
      </c>
      <c r="O17" s="85"/>
      <c r="P17" s="96">
        <f t="shared" si="0"/>
        <v>17</v>
      </c>
      <c r="Q17" s="97" t="s">
        <v>186</v>
      </c>
      <c r="R17" s="99">
        <f>IFERROR(VLOOKUP($J$3,Gerentes_IV[],P17,0),"Erro")</f>
        <v>0.35799999999999998</v>
      </c>
    </row>
    <row r="18" spans="2:18" x14ac:dyDescent="0.25">
      <c r="B18" s="71" t="s">
        <v>278</v>
      </c>
      <c r="C18" s="74">
        <f>R25</f>
        <v>24875647.060000017</v>
      </c>
      <c r="D18" s="74">
        <f>R26</f>
        <v>30797896.699999992</v>
      </c>
      <c r="E18" s="73">
        <f>R27</f>
        <v>1.2389999999999999</v>
      </c>
      <c r="F18" s="90"/>
      <c r="G18" s="74">
        <f>R28</f>
        <v>946.98860000000002</v>
      </c>
      <c r="I18" s="66" t="s">
        <v>370</v>
      </c>
      <c r="J18" s="85"/>
      <c r="K18" s="85">
        <v>3</v>
      </c>
      <c r="L18" s="85">
        <v>5</v>
      </c>
      <c r="M18" s="85"/>
      <c r="N18" s="85"/>
      <c r="O18" s="85"/>
      <c r="P18" s="96">
        <f t="shared" si="0"/>
        <v>18</v>
      </c>
      <c r="Q18" s="97" t="s">
        <v>187</v>
      </c>
      <c r="R18" s="99">
        <f>IFERROR(VLOOKUP($J$3,Gerentes_IV[],P18,0),"Erro")</f>
        <v>0.67600000000000005</v>
      </c>
    </row>
    <row r="19" spans="2:18" x14ac:dyDescent="0.25">
      <c r="B19" s="71" t="s">
        <v>255</v>
      </c>
      <c r="C19" s="71">
        <f>R29</f>
        <v>504</v>
      </c>
      <c r="D19" s="71">
        <f>R30</f>
        <v>731</v>
      </c>
      <c r="E19" s="73">
        <f>R31</f>
        <v>1.4509999999999998</v>
      </c>
      <c r="F19" s="90"/>
      <c r="G19" s="74">
        <f>R32</f>
        <v>2246.5680000000002</v>
      </c>
      <c r="I19" s="66" t="s">
        <v>371</v>
      </c>
      <c r="J19" s="85"/>
      <c r="K19" s="85"/>
      <c r="L19" s="85"/>
      <c r="M19" s="85">
        <v>25</v>
      </c>
      <c r="N19" s="85"/>
      <c r="O19" s="85"/>
      <c r="P19" s="96">
        <f t="shared" si="0"/>
        <v>19</v>
      </c>
      <c r="Q19" s="97" t="s">
        <v>188</v>
      </c>
      <c r="R19" s="99">
        <f>IFERROR(VLOOKUP($J$3,Gerentes_IV[],P19,0),"Erro")</f>
        <v>0.97299999999999998</v>
      </c>
    </row>
    <row r="20" spans="2:18" x14ac:dyDescent="0.25">
      <c r="B20" s="71" t="s">
        <v>274</v>
      </c>
      <c r="C20" s="89"/>
      <c r="D20" s="89"/>
      <c r="E20" s="73">
        <f>R33</f>
        <v>1</v>
      </c>
      <c r="F20" s="90"/>
      <c r="G20" s="74">
        <f>R34</f>
        <v>564.12350000000004</v>
      </c>
      <c r="I20" s="66" t="s">
        <v>314</v>
      </c>
      <c r="J20" s="85"/>
      <c r="K20" s="85"/>
      <c r="L20" s="85"/>
      <c r="M20" s="85">
        <v>90</v>
      </c>
      <c r="N20" s="85"/>
      <c r="O20" s="85"/>
      <c r="P20" s="96">
        <f t="shared" si="0"/>
        <v>20</v>
      </c>
      <c r="Q20" s="97" t="s">
        <v>189</v>
      </c>
      <c r="R20" s="101">
        <f>IFERROR(VLOOKUP($J$3,Gerentes_IV[],P20,0),"Erro")</f>
        <v>0</v>
      </c>
    </row>
    <row r="21" spans="2:18" x14ac:dyDescent="0.25">
      <c r="B21" s="71" t="s">
        <v>275</v>
      </c>
      <c r="C21" s="89"/>
      <c r="D21" s="89"/>
      <c r="E21" s="73">
        <f>R35</f>
        <v>1</v>
      </c>
      <c r="F21" s="90"/>
      <c r="G21" s="74">
        <f>R36</f>
        <v>1692.3705</v>
      </c>
      <c r="I21" s="66" t="s">
        <v>372</v>
      </c>
      <c r="J21" s="85"/>
      <c r="K21" s="85"/>
      <c r="L21" s="85"/>
      <c r="M21" s="85"/>
      <c r="N21" s="85">
        <v>70</v>
      </c>
      <c r="O21" s="85"/>
      <c r="P21" s="96">
        <f t="shared" si="0"/>
        <v>21</v>
      </c>
      <c r="Q21" s="97" t="s">
        <v>190</v>
      </c>
      <c r="R21" s="101">
        <f>IFERROR(VLOOKUP($J$3,Gerentes_IV[],P21,0),"Erro")</f>
        <v>0</v>
      </c>
    </row>
    <row r="22" spans="2:18" x14ac:dyDescent="0.25">
      <c r="B22" s="71" t="s">
        <v>276</v>
      </c>
      <c r="C22" s="89"/>
      <c r="D22" s="89"/>
      <c r="E22" s="73">
        <f>R37</f>
        <v>1</v>
      </c>
      <c r="F22" s="90"/>
      <c r="G22" s="74">
        <f>R38</f>
        <v>564.12350000000004</v>
      </c>
      <c r="I22" s="66" t="s">
        <v>373</v>
      </c>
      <c r="J22" s="85"/>
      <c r="K22" s="85">
        <v>3</v>
      </c>
      <c r="L22" s="85"/>
      <c r="M22" s="85"/>
      <c r="N22" s="85"/>
      <c r="O22" s="85"/>
      <c r="P22" s="96">
        <f t="shared" si="0"/>
        <v>22</v>
      </c>
      <c r="Q22" s="97" t="s">
        <v>191</v>
      </c>
      <c r="R22" s="101">
        <f>IFERROR(VLOOKUP($J$3,Gerentes_IV[],P22,0),"Erro")</f>
        <v>0</v>
      </c>
    </row>
    <row r="23" spans="2:18" x14ac:dyDescent="0.25">
      <c r="B23" s="71" t="s">
        <v>277</v>
      </c>
      <c r="C23" s="89"/>
      <c r="D23" s="89"/>
      <c r="E23" s="73">
        <f>R39</f>
        <v>1</v>
      </c>
      <c r="F23" s="90"/>
      <c r="G23" s="74">
        <f>R40</f>
        <v>564.12350000000004</v>
      </c>
      <c r="I23" s="66" t="s">
        <v>374</v>
      </c>
      <c r="J23" s="85"/>
      <c r="K23" s="85"/>
      <c r="L23" s="85"/>
      <c r="M23" s="85"/>
      <c r="N23" s="85">
        <v>900</v>
      </c>
      <c r="O23" s="85"/>
      <c r="P23" s="96">
        <f t="shared" si="0"/>
        <v>23</v>
      </c>
      <c r="Q23" s="97" t="s">
        <v>192</v>
      </c>
      <c r="R23" s="101">
        <f>IFERROR(VLOOKUP($J$3,Gerentes_IV[],P23,0),"Erro")</f>
        <v>0</v>
      </c>
    </row>
    <row r="24" spans="2:18" x14ac:dyDescent="0.25">
      <c r="I24" s="66" t="s">
        <v>375</v>
      </c>
      <c r="J24" s="85"/>
      <c r="K24" s="85"/>
      <c r="L24" s="85"/>
      <c r="M24" s="85"/>
      <c r="N24" s="85">
        <v>40</v>
      </c>
      <c r="O24" s="85"/>
      <c r="P24" s="96">
        <f t="shared" si="0"/>
        <v>24</v>
      </c>
      <c r="Q24" s="97" t="s">
        <v>193</v>
      </c>
      <c r="R24" s="101">
        <f>IFERROR(VLOOKUP($J$3,Gerentes_IV[],P24,0),"Erro")</f>
        <v>205.83459999999999</v>
      </c>
    </row>
    <row r="25" spans="2:18" ht="15.75" x14ac:dyDescent="0.25">
      <c r="B25" s="88" t="str">
        <f>"Demanda " &amp;C5</f>
        <v>Demanda 2020/2021 (01-Jul)</v>
      </c>
      <c r="I25" s="66" t="s">
        <v>376</v>
      </c>
      <c r="J25" s="85"/>
      <c r="K25" s="85"/>
      <c r="L25" s="85"/>
      <c r="M25" s="85">
        <v>4</v>
      </c>
      <c r="N25" s="85"/>
      <c r="O25" s="85"/>
      <c r="P25" s="96">
        <f t="shared" si="0"/>
        <v>25</v>
      </c>
      <c r="Q25" s="97" t="s">
        <v>241</v>
      </c>
      <c r="R25" s="101">
        <f>IFERROR(VLOOKUP($J$3,Gerentes_IV[],P25,0),"Erro")</f>
        <v>24875647.060000017</v>
      </c>
    </row>
    <row r="26" spans="2:18" x14ac:dyDescent="0.25">
      <c r="I26" s="66" t="s">
        <v>315</v>
      </c>
      <c r="J26" s="85"/>
      <c r="K26" s="85"/>
      <c r="L26" s="85"/>
      <c r="M26" s="85">
        <v>8</v>
      </c>
      <c r="N26" s="85"/>
      <c r="O26" s="85"/>
      <c r="P26" s="96">
        <f t="shared" si="0"/>
        <v>26</v>
      </c>
      <c r="Q26" s="97" t="s">
        <v>242</v>
      </c>
      <c r="R26" s="101">
        <f>IFERROR(VLOOKUP($J$3,Gerentes_IV[],P26,0),"Erro")</f>
        <v>30797896.699999992</v>
      </c>
    </row>
    <row r="27" spans="2:18" x14ac:dyDescent="0.25">
      <c r="I27" s="66" t="s">
        <v>377</v>
      </c>
      <c r="J27" s="85"/>
      <c r="K27" s="85">
        <v>5</v>
      </c>
      <c r="L27" s="85"/>
      <c r="M27" s="85"/>
      <c r="N27" s="85">
        <v>850</v>
      </c>
      <c r="O27" s="85"/>
      <c r="P27" s="96">
        <f t="shared" si="0"/>
        <v>27</v>
      </c>
      <c r="Q27" s="97" t="s">
        <v>243</v>
      </c>
      <c r="R27" s="99">
        <f>IFERROR(VLOOKUP($J$3,Gerentes_IV[],P27,0),"Erro")</f>
        <v>1.2389999999999999</v>
      </c>
    </row>
    <row r="28" spans="2:18" x14ac:dyDescent="0.25">
      <c r="I28" s="66" t="s">
        <v>295</v>
      </c>
      <c r="J28" s="85"/>
      <c r="K28" s="85"/>
      <c r="L28" s="85"/>
      <c r="M28" s="85">
        <v>6</v>
      </c>
      <c r="N28" s="85">
        <v>80</v>
      </c>
      <c r="O28" s="85"/>
      <c r="P28" s="96">
        <f t="shared" si="0"/>
        <v>28</v>
      </c>
      <c r="Q28" s="97" t="s">
        <v>244</v>
      </c>
      <c r="R28" s="101">
        <f>IFERROR(VLOOKUP($J$3,Gerentes_IV[],P28,0),"Erro")</f>
        <v>946.98860000000002</v>
      </c>
    </row>
    <row r="29" spans="2:18" x14ac:dyDescent="0.25">
      <c r="I29" s="66" t="s">
        <v>296</v>
      </c>
      <c r="J29" s="85"/>
      <c r="K29" s="85"/>
      <c r="L29" s="85"/>
      <c r="M29" s="85"/>
      <c r="N29" s="85">
        <v>165</v>
      </c>
      <c r="O29" s="85"/>
      <c r="P29" s="96">
        <f t="shared" si="0"/>
        <v>29</v>
      </c>
      <c r="Q29" s="97" t="s">
        <v>254</v>
      </c>
      <c r="R29" s="97">
        <f>IFERROR(VLOOKUP($J$3,Gerentes_IV[],P29,0),"Erro")</f>
        <v>504</v>
      </c>
    </row>
    <row r="30" spans="2:18" x14ac:dyDescent="0.25">
      <c r="I30" s="66" t="s">
        <v>378</v>
      </c>
      <c r="J30" s="85"/>
      <c r="K30" s="85"/>
      <c r="L30" s="85"/>
      <c r="M30" s="85"/>
      <c r="N30" s="85">
        <v>350</v>
      </c>
      <c r="O30" s="85"/>
      <c r="P30" s="96">
        <f t="shared" si="0"/>
        <v>30</v>
      </c>
      <c r="Q30" s="97" t="s">
        <v>255</v>
      </c>
      <c r="R30" s="97">
        <f>IFERROR(VLOOKUP($J$3,Gerentes_IV[],P30,0),"Erro")</f>
        <v>731</v>
      </c>
    </row>
    <row r="31" spans="2:18" x14ac:dyDescent="0.25">
      <c r="I31" s="66" t="s">
        <v>379</v>
      </c>
      <c r="J31" s="85"/>
      <c r="K31" s="85"/>
      <c r="L31" s="85"/>
      <c r="M31" s="85">
        <v>8</v>
      </c>
      <c r="N31" s="85"/>
      <c r="O31" s="85"/>
      <c r="P31" s="96">
        <f t="shared" si="0"/>
        <v>31</v>
      </c>
      <c r="Q31" s="97" t="s">
        <v>256</v>
      </c>
      <c r="R31" s="99">
        <f>IFERROR(VLOOKUP($J$3,Gerentes_IV[],P31,0),"Erro")</f>
        <v>1.4509999999999998</v>
      </c>
    </row>
    <row r="32" spans="2:18" x14ac:dyDescent="0.25">
      <c r="I32" s="66" t="s">
        <v>380</v>
      </c>
      <c r="J32" s="85"/>
      <c r="K32" s="85"/>
      <c r="L32" s="85">
        <v>4</v>
      </c>
      <c r="M32" s="85"/>
      <c r="N32" s="85"/>
      <c r="O32" s="85"/>
      <c r="P32" s="96">
        <f t="shared" si="0"/>
        <v>32</v>
      </c>
      <c r="Q32" s="97" t="s">
        <v>257</v>
      </c>
      <c r="R32" s="101">
        <f>IFERROR(VLOOKUP($J$3,Gerentes_IV[],P32,0),"Erro")</f>
        <v>2246.5680000000002</v>
      </c>
    </row>
    <row r="33" spans="9:18" x14ac:dyDescent="0.25">
      <c r="I33" s="66" t="s">
        <v>381</v>
      </c>
      <c r="J33" s="85"/>
      <c r="K33" s="85"/>
      <c r="L33" s="85"/>
      <c r="M33" s="85"/>
      <c r="N33" s="85">
        <v>245</v>
      </c>
      <c r="O33" s="85"/>
      <c r="P33" s="96">
        <f t="shared" si="0"/>
        <v>33</v>
      </c>
      <c r="Q33" s="97" t="s">
        <v>258</v>
      </c>
      <c r="R33" s="99">
        <f>IFERROR(VLOOKUP($J$3,Gerentes_IV[],P33,0),"Erro")</f>
        <v>1</v>
      </c>
    </row>
    <row r="34" spans="9:18" x14ac:dyDescent="0.25">
      <c r="I34" s="66" t="s">
        <v>316</v>
      </c>
      <c r="J34" s="85"/>
      <c r="K34" s="85"/>
      <c r="L34" s="85"/>
      <c r="M34" s="85">
        <v>39</v>
      </c>
      <c r="N34" s="85"/>
      <c r="O34" s="85"/>
      <c r="P34" s="96">
        <f t="shared" si="0"/>
        <v>34</v>
      </c>
      <c r="Q34" s="97" t="s">
        <v>262</v>
      </c>
      <c r="R34" s="101">
        <f>IFERROR(VLOOKUP($J$3,Gerentes_IV[],P34,0),"Erro")</f>
        <v>564.12350000000004</v>
      </c>
    </row>
    <row r="35" spans="9:18" x14ac:dyDescent="0.25">
      <c r="I35" s="66" t="s">
        <v>382</v>
      </c>
      <c r="J35" s="85"/>
      <c r="K35" s="85"/>
      <c r="L35" s="85"/>
      <c r="M35" s="85">
        <v>16</v>
      </c>
      <c r="N35" s="85"/>
      <c r="O35" s="85"/>
      <c r="P35" s="96">
        <f t="shared" si="0"/>
        <v>35</v>
      </c>
      <c r="Q35" s="99" t="s">
        <v>259</v>
      </c>
      <c r="R35" s="99">
        <f>IFERROR(VLOOKUP($J$3,Gerentes_IV[],P35,0),"Erro")</f>
        <v>1</v>
      </c>
    </row>
    <row r="36" spans="9:18" x14ac:dyDescent="0.25">
      <c r="I36" s="66" t="s">
        <v>383</v>
      </c>
      <c r="J36" s="85"/>
      <c r="K36" s="85"/>
      <c r="L36" s="85"/>
      <c r="M36" s="85"/>
      <c r="N36" s="85">
        <v>40</v>
      </c>
      <c r="O36" s="85"/>
      <c r="P36" s="96">
        <f t="shared" si="0"/>
        <v>36</v>
      </c>
      <c r="Q36" s="99" t="s">
        <v>263</v>
      </c>
      <c r="R36" s="101">
        <f>IFERROR(VLOOKUP($J$3,Gerentes_IV[],P36,0),"Erro")</f>
        <v>1692.3705</v>
      </c>
    </row>
    <row r="37" spans="9:18" x14ac:dyDescent="0.25">
      <c r="I37" s="66" t="s">
        <v>384</v>
      </c>
      <c r="J37" s="85"/>
      <c r="K37" s="85">
        <v>36</v>
      </c>
      <c r="L37" s="85">
        <v>7</v>
      </c>
      <c r="M37" s="85"/>
      <c r="N37" s="85">
        <v>1775</v>
      </c>
      <c r="O37" s="85"/>
      <c r="P37" s="96">
        <f t="shared" si="0"/>
        <v>37</v>
      </c>
      <c r="Q37" s="99" t="s">
        <v>260</v>
      </c>
      <c r="R37" s="99">
        <f>IFERROR(VLOOKUP($J$3,Gerentes_IV[],P37,0),"Erro")</f>
        <v>1</v>
      </c>
    </row>
    <row r="38" spans="9:18" x14ac:dyDescent="0.25">
      <c r="I38" s="66" t="s">
        <v>385</v>
      </c>
      <c r="J38" s="85"/>
      <c r="K38" s="85"/>
      <c r="L38" s="85"/>
      <c r="M38" s="85"/>
      <c r="N38" s="85">
        <v>75</v>
      </c>
      <c r="O38" s="85"/>
      <c r="P38" s="96">
        <f t="shared" si="0"/>
        <v>38</v>
      </c>
      <c r="Q38" s="99" t="s">
        <v>264</v>
      </c>
      <c r="R38" s="101">
        <f>IFERROR(VLOOKUP($J$3,Gerentes_IV[],P38,0),"Erro")</f>
        <v>564.12350000000004</v>
      </c>
    </row>
    <row r="39" spans="9:18" x14ac:dyDescent="0.25">
      <c r="I39" s="66" t="s">
        <v>386</v>
      </c>
      <c r="J39" s="85"/>
      <c r="K39" s="85"/>
      <c r="L39" s="85"/>
      <c r="M39" s="85">
        <v>8</v>
      </c>
      <c r="N39" s="85"/>
      <c r="O39" s="85"/>
      <c r="P39" s="96">
        <f t="shared" si="0"/>
        <v>39</v>
      </c>
      <c r="Q39" s="99" t="s">
        <v>261</v>
      </c>
      <c r="R39" s="99">
        <f>IFERROR(VLOOKUP($J$3,Gerentes_IV[],P39,0),"Erro")</f>
        <v>1</v>
      </c>
    </row>
    <row r="40" spans="9:18" x14ac:dyDescent="0.25">
      <c r="I40" s="66" t="s">
        <v>387</v>
      </c>
      <c r="J40" s="85"/>
      <c r="K40" s="85">
        <v>4</v>
      </c>
      <c r="L40" s="85">
        <v>30</v>
      </c>
      <c r="M40" s="85"/>
      <c r="N40" s="85">
        <v>300</v>
      </c>
      <c r="O40" s="85"/>
      <c r="P40" s="96">
        <f t="shared" si="0"/>
        <v>40</v>
      </c>
      <c r="Q40" s="97" t="s">
        <v>265</v>
      </c>
      <c r="R40" s="101">
        <f>IFERROR(VLOOKUP($J$3,Gerentes_IV[],P40,0),"Erro")</f>
        <v>564.12350000000004</v>
      </c>
    </row>
    <row r="41" spans="9:18" x14ac:dyDescent="0.25">
      <c r="I41" s="66" t="s">
        <v>388</v>
      </c>
      <c r="J41" s="85"/>
      <c r="K41" s="85"/>
      <c r="L41" s="85">
        <v>10</v>
      </c>
      <c r="M41" s="85"/>
      <c r="N41" s="85"/>
      <c r="O41" s="85"/>
      <c r="P41" s="96">
        <f t="shared" si="0"/>
        <v>41</v>
      </c>
      <c r="Q41" s="97" t="s">
        <v>266</v>
      </c>
      <c r="R41" s="101">
        <f>IFERROR(VLOOKUP($J$3,Gerentes_IV[],P41,0),"Erro")</f>
        <v>6784.1322</v>
      </c>
    </row>
    <row r="42" spans="9:18" x14ac:dyDescent="0.25">
      <c r="I42" s="66" t="s">
        <v>389</v>
      </c>
      <c r="J42" s="85"/>
      <c r="K42" s="85">
        <v>17</v>
      </c>
      <c r="L42" s="85">
        <v>11</v>
      </c>
      <c r="M42" s="85"/>
      <c r="N42" s="85"/>
      <c r="O42" s="85"/>
      <c r="P42"/>
      <c r="Q42" s="66"/>
      <c r="R42" s="66"/>
    </row>
    <row r="43" spans="9:18" x14ac:dyDescent="0.25">
      <c r="I43" s="66" t="s">
        <v>390</v>
      </c>
      <c r="J43" s="85"/>
      <c r="K43" s="85">
        <v>200</v>
      </c>
      <c r="L43" s="85"/>
      <c r="M43" s="85">
        <v>76</v>
      </c>
      <c r="N43" s="85">
        <v>10530</v>
      </c>
      <c r="O43" s="85"/>
      <c r="P43"/>
      <c r="Q43" s="66"/>
      <c r="R43" s="66"/>
    </row>
    <row r="44" spans="9:18" x14ac:dyDescent="0.25">
      <c r="I44" s="66" t="s">
        <v>297</v>
      </c>
      <c r="J44" s="85"/>
      <c r="K44" s="85">
        <v>35</v>
      </c>
      <c r="L44" s="85">
        <v>5</v>
      </c>
      <c r="M44" s="85"/>
      <c r="N44" s="85">
        <v>500</v>
      </c>
      <c r="O44" s="85"/>
      <c r="P44"/>
      <c r="Q44" s="66"/>
      <c r="R44" s="66"/>
    </row>
    <row r="45" spans="9:18" x14ac:dyDescent="0.25">
      <c r="I45" s="66" t="s">
        <v>391</v>
      </c>
      <c r="J45" s="85"/>
      <c r="K45" s="85"/>
      <c r="L45" s="85">
        <v>36</v>
      </c>
      <c r="M45" s="85"/>
      <c r="N45" s="85"/>
      <c r="O45" s="85"/>
      <c r="P45"/>
      <c r="Q45" s="66"/>
      <c r="R45" s="66"/>
    </row>
    <row r="46" spans="9:18" x14ac:dyDescent="0.25">
      <c r="I46" s="66" t="s">
        <v>298</v>
      </c>
      <c r="J46" s="85"/>
      <c r="K46" s="85"/>
      <c r="L46" s="85"/>
      <c r="M46" s="85"/>
      <c r="N46" s="85">
        <v>35</v>
      </c>
      <c r="O46"/>
      <c r="P46"/>
      <c r="Q46" s="66"/>
      <c r="R46" s="66"/>
    </row>
    <row r="47" spans="9:18" x14ac:dyDescent="0.25">
      <c r="I47" s="66" t="s">
        <v>299</v>
      </c>
      <c r="J47" s="85"/>
      <c r="K47" s="85">
        <v>1</v>
      </c>
      <c r="L47" s="85"/>
      <c r="M47" s="85">
        <v>20</v>
      </c>
      <c r="N47" s="85"/>
      <c r="O47"/>
      <c r="P47"/>
      <c r="Q47" s="66"/>
      <c r="R47" s="66"/>
    </row>
    <row r="48" spans="9:18" x14ac:dyDescent="0.25">
      <c r="I48" s="66" t="s">
        <v>392</v>
      </c>
      <c r="J48" s="85"/>
      <c r="K48" s="85">
        <v>6</v>
      </c>
      <c r="L48" s="85"/>
      <c r="M48" s="85"/>
      <c r="N48" s="85"/>
      <c r="O48"/>
      <c r="P48"/>
      <c r="Q48" s="66"/>
      <c r="R48" s="66"/>
    </row>
    <row r="49" spans="9:18" x14ac:dyDescent="0.25">
      <c r="I49" s="66" t="s">
        <v>393</v>
      </c>
      <c r="J49" s="85"/>
      <c r="K49" s="85"/>
      <c r="L49" s="85">
        <v>66</v>
      </c>
      <c r="M49" s="85"/>
      <c r="N49" s="85">
        <v>550</v>
      </c>
      <c r="O49"/>
      <c r="P49"/>
      <c r="Q49" s="66"/>
      <c r="R49" s="66"/>
    </row>
    <row r="50" spans="9:18" x14ac:dyDescent="0.25">
      <c r="I50" s="66" t="s">
        <v>394</v>
      </c>
      <c r="J50" s="85"/>
      <c r="K50" s="85">
        <v>2</v>
      </c>
      <c r="L50" s="85"/>
      <c r="M50" s="85"/>
      <c r="N50" s="85"/>
      <c r="O50"/>
      <c r="P50"/>
      <c r="Q50" s="66"/>
      <c r="R50" s="66"/>
    </row>
    <row r="51" spans="9:18" x14ac:dyDescent="0.25">
      <c r="I51" s="66" t="s">
        <v>395</v>
      </c>
      <c r="J51" s="85"/>
      <c r="K51" s="85"/>
      <c r="L51" s="85"/>
      <c r="M51" s="85">
        <v>24</v>
      </c>
      <c r="N51" s="85"/>
      <c r="O51"/>
      <c r="P51"/>
      <c r="Q51" s="66"/>
      <c r="R51" s="66"/>
    </row>
    <row r="52" spans="9:18" x14ac:dyDescent="0.25">
      <c r="I52" s="66" t="s">
        <v>317</v>
      </c>
      <c r="J52" s="85"/>
      <c r="K52" s="85"/>
      <c r="L52" s="85"/>
      <c r="M52" s="85">
        <v>64</v>
      </c>
      <c r="N52" s="85"/>
      <c r="O52"/>
      <c r="P52"/>
      <c r="Q52" s="66"/>
      <c r="R52" s="66"/>
    </row>
    <row r="53" spans="9:18" x14ac:dyDescent="0.25">
      <c r="I53" s="66" t="s">
        <v>396</v>
      </c>
      <c r="J53" s="85"/>
      <c r="K53" s="85"/>
      <c r="L53" s="85">
        <v>1</v>
      </c>
      <c r="M53" s="85"/>
      <c r="N53" s="85"/>
      <c r="O53"/>
      <c r="P53"/>
      <c r="Q53" s="66"/>
      <c r="R53" s="66"/>
    </row>
    <row r="54" spans="9:18" x14ac:dyDescent="0.25">
      <c r="I54" s="66" t="s">
        <v>397</v>
      </c>
      <c r="J54" s="85"/>
      <c r="K54" s="85"/>
      <c r="L54" s="85"/>
      <c r="M54" s="85"/>
      <c r="N54" s="85">
        <v>290</v>
      </c>
      <c r="O54"/>
      <c r="P54"/>
      <c r="Q54" s="66"/>
      <c r="R54" s="66"/>
    </row>
    <row r="55" spans="9:18" x14ac:dyDescent="0.25">
      <c r="I55" s="66" t="s">
        <v>398</v>
      </c>
      <c r="J55" s="85"/>
      <c r="K55" s="85">
        <v>14</v>
      </c>
      <c r="L55" s="85">
        <v>1</v>
      </c>
      <c r="M55" s="85">
        <v>104</v>
      </c>
      <c r="N55" s="85"/>
      <c r="O55"/>
      <c r="P55"/>
      <c r="Q55" s="66"/>
      <c r="R55" s="66"/>
    </row>
    <row r="56" spans="9:18" x14ac:dyDescent="0.25">
      <c r="I56" s="66" t="s">
        <v>399</v>
      </c>
      <c r="J56" s="85"/>
      <c r="K56" s="85">
        <v>1</v>
      </c>
      <c r="L56" s="85"/>
      <c r="M56" s="85"/>
      <c r="N56" s="85"/>
      <c r="O56"/>
      <c r="P56"/>
      <c r="Q56" s="66"/>
      <c r="R56" s="66"/>
    </row>
    <row r="57" spans="9:18" x14ac:dyDescent="0.25">
      <c r="I57" s="66" t="s">
        <v>300</v>
      </c>
      <c r="J57" s="85"/>
      <c r="K57" s="85"/>
      <c r="L57" s="85"/>
      <c r="M57" s="85"/>
      <c r="N57" s="85">
        <v>375</v>
      </c>
      <c r="O57"/>
      <c r="P57"/>
      <c r="Q57" s="66"/>
      <c r="R57" s="66"/>
    </row>
    <row r="58" spans="9:18" x14ac:dyDescent="0.25">
      <c r="I58" s="66" t="s">
        <v>301</v>
      </c>
      <c r="J58" s="85"/>
      <c r="K58" s="85"/>
      <c r="L58" s="85"/>
      <c r="M58" s="85"/>
      <c r="N58" s="85">
        <v>50</v>
      </c>
      <c r="O58"/>
      <c r="P58"/>
      <c r="Q58" s="66"/>
      <c r="R58" s="66"/>
    </row>
    <row r="59" spans="9:18" x14ac:dyDescent="0.25">
      <c r="I59" s="66" t="s">
        <v>400</v>
      </c>
      <c r="J59" s="85"/>
      <c r="K59" s="85">
        <v>8</v>
      </c>
      <c r="L59" s="85"/>
      <c r="M59" s="85"/>
      <c r="N59" s="85"/>
      <c r="O59"/>
      <c r="P59"/>
      <c r="Q59" s="66"/>
      <c r="R59" s="66"/>
    </row>
    <row r="60" spans="9:18" x14ac:dyDescent="0.25">
      <c r="I60" s="66" t="s">
        <v>401</v>
      </c>
      <c r="J60" s="85"/>
      <c r="K60" s="85"/>
      <c r="L60" s="85"/>
      <c r="M60" s="85">
        <v>8</v>
      </c>
      <c r="N60" s="85"/>
      <c r="O60"/>
      <c r="P60"/>
      <c r="Q60" s="66"/>
      <c r="R60" s="66"/>
    </row>
    <row r="61" spans="9:18" x14ac:dyDescent="0.25">
      <c r="I61" s="66" t="s">
        <v>402</v>
      </c>
      <c r="J61" s="85"/>
      <c r="K61" s="85">
        <v>4</v>
      </c>
      <c r="L61" s="85">
        <v>3</v>
      </c>
      <c r="M61" s="85"/>
      <c r="N61" s="85"/>
      <c r="O61"/>
      <c r="P61"/>
      <c r="Q61" s="66"/>
      <c r="R61" s="66"/>
    </row>
    <row r="62" spans="9:18" x14ac:dyDescent="0.25">
      <c r="I62" s="66" t="s">
        <v>403</v>
      </c>
      <c r="J62" s="85"/>
      <c r="K62" s="85">
        <v>2</v>
      </c>
      <c r="L62" s="85"/>
      <c r="M62" s="85"/>
      <c r="N62" s="85"/>
      <c r="O62"/>
      <c r="P62"/>
      <c r="Q62" s="66"/>
      <c r="R62" s="66"/>
    </row>
    <row r="63" spans="9:18" x14ac:dyDescent="0.25">
      <c r="I63" s="66" t="s">
        <v>404</v>
      </c>
      <c r="J63" s="85"/>
      <c r="K63" s="85"/>
      <c r="L63" s="85"/>
      <c r="M63" s="85"/>
      <c r="N63" s="85">
        <v>125</v>
      </c>
      <c r="O63"/>
      <c r="P63"/>
      <c r="Q63" s="66"/>
      <c r="R63" s="66"/>
    </row>
    <row r="64" spans="9:18" x14ac:dyDescent="0.25">
      <c r="I64" s="66" t="s">
        <v>405</v>
      </c>
      <c r="J64" s="85"/>
      <c r="K64" s="85"/>
      <c r="L64" s="85"/>
      <c r="M64" s="85">
        <v>14</v>
      </c>
      <c r="N64" s="85"/>
      <c r="O64"/>
      <c r="P64"/>
      <c r="Q64" s="66"/>
      <c r="R64" s="66"/>
    </row>
    <row r="65" spans="9:18" x14ac:dyDescent="0.25">
      <c r="I65" s="66" t="s">
        <v>406</v>
      </c>
      <c r="J65" s="85"/>
      <c r="K65" s="85"/>
      <c r="L65" s="85">
        <v>2</v>
      </c>
      <c r="M65" s="85"/>
      <c r="N65" s="85"/>
      <c r="O65"/>
      <c r="P65"/>
      <c r="Q65" s="66"/>
      <c r="R65" s="66"/>
    </row>
    <row r="66" spans="9:18" x14ac:dyDescent="0.25">
      <c r="I66" s="66" t="s">
        <v>407</v>
      </c>
      <c r="J66" s="85"/>
      <c r="K66" s="85"/>
      <c r="L66" s="85"/>
      <c r="M66" s="85">
        <v>110</v>
      </c>
      <c r="N66" s="85">
        <v>700</v>
      </c>
      <c r="O66"/>
      <c r="P66"/>
      <c r="Q66" s="66"/>
      <c r="R66" s="66"/>
    </row>
    <row r="67" spans="9:18" x14ac:dyDescent="0.25">
      <c r="I67" s="66" t="s">
        <v>408</v>
      </c>
      <c r="J67" s="85"/>
      <c r="K67" s="85">
        <v>5</v>
      </c>
      <c r="L67" s="85">
        <v>10</v>
      </c>
      <c r="M67" s="85"/>
      <c r="N67" s="85"/>
      <c r="O67"/>
      <c r="P67"/>
      <c r="Q67" s="66"/>
      <c r="R67" s="66"/>
    </row>
    <row r="68" spans="9:18" x14ac:dyDescent="0.25">
      <c r="I68" s="66" t="s">
        <v>409</v>
      </c>
      <c r="J68" s="85"/>
      <c r="K68" s="85">
        <v>11</v>
      </c>
      <c r="L68" s="85">
        <v>6</v>
      </c>
      <c r="M68" s="85"/>
      <c r="N68" s="85"/>
      <c r="O68"/>
      <c r="P68"/>
      <c r="Q68" s="66"/>
      <c r="R68" s="66"/>
    </row>
    <row r="69" spans="9:18" x14ac:dyDescent="0.25">
      <c r="I69" s="66" t="s">
        <v>410</v>
      </c>
      <c r="J69" s="85"/>
      <c r="K69" s="85">
        <v>3</v>
      </c>
      <c r="L69" s="85">
        <v>4</v>
      </c>
      <c r="M69" s="85"/>
      <c r="N69" s="85"/>
      <c r="O69"/>
      <c r="P69"/>
      <c r="Q69" s="66"/>
      <c r="R69" s="66"/>
    </row>
    <row r="70" spans="9:18" x14ac:dyDescent="0.25">
      <c r="I70" s="66" t="s">
        <v>302</v>
      </c>
      <c r="J70" s="85"/>
      <c r="K70" s="85"/>
      <c r="L70" s="85"/>
      <c r="M70" s="85"/>
      <c r="N70" s="85">
        <v>100</v>
      </c>
      <c r="O70"/>
      <c r="P70"/>
      <c r="Q70" s="66"/>
      <c r="R70" s="66"/>
    </row>
    <row r="71" spans="9:18" x14ac:dyDescent="0.25">
      <c r="I71" s="66" t="s">
        <v>411</v>
      </c>
      <c r="J71" s="85"/>
      <c r="K71" s="85">
        <v>4</v>
      </c>
      <c r="L71" s="85"/>
      <c r="M71" s="85"/>
      <c r="N71" s="85"/>
      <c r="O71"/>
      <c r="P71"/>
      <c r="Q71" s="66"/>
      <c r="R71" s="66"/>
    </row>
    <row r="72" spans="9:18" x14ac:dyDescent="0.25">
      <c r="I72" s="66" t="s">
        <v>412</v>
      </c>
      <c r="J72" s="85"/>
      <c r="K72" s="85"/>
      <c r="L72" s="85">
        <v>5</v>
      </c>
      <c r="M72" s="85"/>
      <c r="N72" s="85"/>
      <c r="O72"/>
      <c r="P72"/>
      <c r="Q72" s="66"/>
      <c r="R72" s="66"/>
    </row>
    <row r="73" spans="9:18" x14ac:dyDescent="0.25">
      <c r="I73" s="66" t="s">
        <v>413</v>
      </c>
      <c r="J73" s="85"/>
      <c r="K73" s="85"/>
      <c r="L73" s="85">
        <v>10</v>
      </c>
      <c r="M73" s="85"/>
      <c r="N73" s="85"/>
      <c r="O73"/>
      <c r="P73"/>
      <c r="Q73" s="66"/>
      <c r="R73" s="66"/>
    </row>
    <row r="74" spans="9:18" x14ac:dyDescent="0.25">
      <c r="I74" s="66" t="s">
        <v>303</v>
      </c>
      <c r="J74" s="85"/>
      <c r="K74" s="85"/>
      <c r="L74" s="85"/>
      <c r="M74" s="85"/>
      <c r="N74" s="85">
        <v>20</v>
      </c>
      <c r="O74"/>
      <c r="P74"/>
      <c r="Q74" s="66"/>
      <c r="R74" s="66"/>
    </row>
    <row r="75" spans="9:18" x14ac:dyDescent="0.25">
      <c r="I75" s="66" t="s">
        <v>318</v>
      </c>
      <c r="J75" s="85">
        <v>3</v>
      </c>
      <c r="K75" s="85"/>
      <c r="L75" s="85"/>
      <c r="M75" s="85"/>
      <c r="N75" s="85"/>
      <c r="O75"/>
      <c r="P75"/>
      <c r="Q75" s="66"/>
      <c r="R75" s="66"/>
    </row>
    <row r="76" spans="9:18" x14ac:dyDescent="0.25">
      <c r="I76" s="66" t="s">
        <v>319</v>
      </c>
      <c r="J76" s="85"/>
      <c r="K76" s="85"/>
      <c r="L76" s="85"/>
      <c r="M76" s="85">
        <v>48</v>
      </c>
      <c r="N76" s="85"/>
      <c r="O76"/>
      <c r="P76"/>
      <c r="Q76" s="66"/>
      <c r="R76" s="66"/>
    </row>
    <row r="77" spans="9:18" x14ac:dyDescent="0.25">
      <c r="I77" s="66" t="s">
        <v>304</v>
      </c>
      <c r="J77" s="85"/>
      <c r="K77" s="85"/>
      <c r="L77" s="85"/>
      <c r="M77" s="85"/>
      <c r="N77" s="85">
        <v>15</v>
      </c>
      <c r="O77"/>
      <c r="P77"/>
      <c r="Q77" s="66"/>
      <c r="R77" s="66"/>
    </row>
    <row r="78" spans="9:18" x14ac:dyDescent="0.25">
      <c r="I78" s="66" t="s">
        <v>320</v>
      </c>
      <c r="J78" s="85"/>
      <c r="K78" s="85"/>
      <c r="L78" s="85"/>
      <c r="M78" s="85">
        <v>100</v>
      </c>
      <c r="N78" s="85"/>
      <c r="O78"/>
      <c r="P78"/>
      <c r="Q78" s="66"/>
      <c r="R78" s="66"/>
    </row>
    <row r="79" spans="9:18" x14ac:dyDescent="0.25">
      <c r="I79" s="66" t="s">
        <v>414</v>
      </c>
      <c r="J79" s="85"/>
      <c r="K79" s="85">
        <v>5</v>
      </c>
      <c r="L79" s="85">
        <v>4</v>
      </c>
      <c r="M79" s="85"/>
      <c r="N79" s="85"/>
      <c r="O79"/>
      <c r="P79"/>
      <c r="Q79" s="66"/>
      <c r="R79" s="66"/>
    </row>
    <row r="80" spans="9:18" x14ac:dyDescent="0.25">
      <c r="I80" s="66" t="s">
        <v>415</v>
      </c>
      <c r="J80" s="85"/>
      <c r="K80" s="85">
        <v>5</v>
      </c>
      <c r="L80" s="85"/>
      <c r="M80" s="85">
        <v>72</v>
      </c>
      <c r="N80" s="85"/>
      <c r="O80"/>
      <c r="P80"/>
      <c r="Q80" s="66"/>
      <c r="R80" s="66"/>
    </row>
    <row r="81" spans="9:18" x14ac:dyDescent="0.25">
      <c r="I81" s="66" t="s">
        <v>416</v>
      </c>
      <c r="J81" s="85"/>
      <c r="K81" s="85"/>
      <c r="L81" s="85"/>
      <c r="M81" s="85">
        <v>38</v>
      </c>
      <c r="N81" s="85"/>
      <c r="O81"/>
      <c r="P81"/>
      <c r="Q81" s="66"/>
      <c r="R81" s="66"/>
    </row>
    <row r="82" spans="9:18" x14ac:dyDescent="0.25">
      <c r="I82" s="66" t="s">
        <v>417</v>
      </c>
      <c r="J82" s="85"/>
      <c r="K82" s="85"/>
      <c r="L82" s="85"/>
      <c r="M82" s="85"/>
      <c r="N82" s="85">
        <v>375</v>
      </c>
      <c r="O82"/>
      <c r="P82"/>
      <c r="Q82" s="66"/>
      <c r="R82" s="66"/>
    </row>
    <row r="83" spans="9:18" x14ac:dyDescent="0.25">
      <c r="I83" s="66" t="s">
        <v>418</v>
      </c>
      <c r="J83" s="85"/>
      <c r="K83" s="85"/>
      <c r="L83" s="85"/>
      <c r="M83" s="85"/>
      <c r="N83" s="85">
        <v>160</v>
      </c>
      <c r="O83"/>
      <c r="P83"/>
      <c r="Q83" s="66"/>
      <c r="R83" s="66"/>
    </row>
    <row r="84" spans="9:18" x14ac:dyDescent="0.25">
      <c r="I84" s="66" t="s">
        <v>419</v>
      </c>
      <c r="J84" s="85"/>
      <c r="K84" s="85"/>
      <c r="L84" s="85"/>
      <c r="M84" s="85"/>
      <c r="N84" s="85">
        <v>2100</v>
      </c>
      <c r="O84"/>
      <c r="P84"/>
      <c r="Q84" s="66"/>
      <c r="R84" s="66"/>
    </row>
    <row r="85" spans="9:18" x14ac:dyDescent="0.25">
      <c r="I85" s="66" t="s">
        <v>420</v>
      </c>
      <c r="J85" s="85"/>
      <c r="K85" s="85"/>
      <c r="L85" s="85"/>
      <c r="M85" s="85">
        <v>24</v>
      </c>
      <c r="N85" s="85"/>
      <c r="O85"/>
      <c r="P85"/>
      <c r="Q85" s="66"/>
      <c r="R85" s="66"/>
    </row>
    <row r="86" spans="9:18" x14ac:dyDescent="0.25">
      <c r="I86" s="66" t="s">
        <v>421</v>
      </c>
      <c r="J86" s="85"/>
      <c r="K86" s="85">
        <v>12</v>
      </c>
      <c r="L86" s="85"/>
      <c r="M86" s="85"/>
      <c r="N86" s="85"/>
      <c r="O86"/>
      <c r="P86"/>
      <c r="Q86" s="66"/>
      <c r="R86" s="66"/>
    </row>
    <row r="87" spans="9:18" x14ac:dyDescent="0.25">
      <c r="I87" s="66" t="s">
        <v>422</v>
      </c>
      <c r="J87" s="85"/>
      <c r="K87" s="85"/>
      <c r="L87" s="85"/>
      <c r="M87" s="85">
        <v>5</v>
      </c>
      <c r="N87" s="85">
        <v>155</v>
      </c>
      <c r="O87"/>
      <c r="P87"/>
      <c r="Q87" s="66"/>
      <c r="R87" s="66"/>
    </row>
    <row r="88" spans="9:18" x14ac:dyDescent="0.25">
      <c r="I88" s="66" t="s">
        <v>423</v>
      </c>
      <c r="J88" s="85"/>
      <c r="K88" s="85"/>
      <c r="L88" s="85"/>
      <c r="M88" s="85"/>
      <c r="N88" s="85">
        <v>500</v>
      </c>
      <c r="O88"/>
      <c r="P88"/>
      <c r="Q88" s="66"/>
      <c r="R88" s="66"/>
    </row>
    <row r="89" spans="9:18" x14ac:dyDescent="0.25">
      <c r="I89" s="66" t="s">
        <v>424</v>
      </c>
      <c r="J89" s="85">
        <v>3</v>
      </c>
      <c r="K89" s="85"/>
      <c r="L89" s="85"/>
      <c r="M89" s="85"/>
      <c r="N89" s="85"/>
      <c r="O89"/>
      <c r="P89"/>
      <c r="Q89" s="66"/>
      <c r="R89" s="66"/>
    </row>
    <row r="90" spans="9:18" x14ac:dyDescent="0.25">
      <c r="I90" s="66" t="s">
        <v>425</v>
      </c>
      <c r="J90" s="85"/>
      <c r="K90" s="85"/>
      <c r="L90" s="85"/>
      <c r="M90" s="85">
        <v>9</v>
      </c>
      <c r="N90" s="85"/>
      <c r="O90"/>
      <c r="P90"/>
      <c r="Q90" s="66"/>
      <c r="R90" s="66"/>
    </row>
    <row r="91" spans="9:18" x14ac:dyDescent="0.25">
      <c r="I91" s="66" t="s">
        <v>426</v>
      </c>
      <c r="J91" s="85"/>
      <c r="K91" s="85"/>
      <c r="L91" s="85"/>
      <c r="M91" s="85"/>
      <c r="N91" s="85">
        <v>345</v>
      </c>
      <c r="O91"/>
      <c r="P91"/>
      <c r="Q91" s="66"/>
      <c r="R91" s="66"/>
    </row>
    <row r="92" spans="9:18" x14ac:dyDescent="0.25">
      <c r="I92" s="66" t="s">
        <v>321</v>
      </c>
      <c r="J92" s="85"/>
      <c r="K92" s="85"/>
      <c r="L92" s="85"/>
      <c r="M92" s="85">
        <v>160</v>
      </c>
      <c r="N92" s="85"/>
      <c r="O92"/>
      <c r="P92"/>
      <c r="Q92" s="66"/>
      <c r="R92" s="66"/>
    </row>
    <row r="93" spans="9:18" x14ac:dyDescent="0.25">
      <c r="I93" s="66" t="s">
        <v>427</v>
      </c>
      <c r="J93" s="85"/>
      <c r="K93" s="85">
        <v>40</v>
      </c>
      <c r="L93" s="85"/>
      <c r="M93" s="85"/>
      <c r="N93" s="85"/>
      <c r="O93"/>
      <c r="P93"/>
      <c r="Q93" s="66"/>
      <c r="R93" s="66"/>
    </row>
    <row r="94" spans="9:18" x14ac:dyDescent="0.25">
      <c r="I94" s="66" t="s">
        <v>428</v>
      </c>
      <c r="J94" s="85"/>
      <c r="K94" s="85"/>
      <c r="L94" s="85"/>
      <c r="M94" s="85">
        <v>158</v>
      </c>
      <c r="N94" s="85"/>
      <c r="O94"/>
      <c r="P94"/>
      <c r="Q94" s="66"/>
      <c r="R94" s="66"/>
    </row>
    <row r="95" spans="9:18" x14ac:dyDescent="0.25">
      <c r="I95" s="66" t="s">
        <v>429</v>
      </c>
      <c r="J95" s="85"/>
      <c r="K95" s="85">
        <v>4</v>
      </c>
      <c r="L95" s="85"/>
      <c r="M95" s="85"/>
      <c r="N95" s="85"/>
      <c r="O95"/>
      <c r="P95"/>
      <c r="Q95" s="66"/>
      <c r="R95" s="66"/>
    </row>
    <row r="96" spans="9:18" x14ac:dyDescent="0.25">
      <c r="I96" s="66" t="s">
        <v>430</v>
      </c>
      <c r="J96" s="85"/>
      <c r="K96" s="85"/>
      <c r="L96" s="85"/>
      <c r="M96" s="85">
        <v>104</v>
      </c>
      <c r="N96" s="85"/>
      <c r="O96"/>
      <c r="P96"/>
      <c r="Q96" s="66"/>
      <c r="R96" s="66"/>
    </row>
    <row r="97" spans="9:18" x14ac:dyDescent="0.25">
      <c r="I97" s="66" t="s">
        <v>431</v>
      </c>
      <c r="J97" s="85"/>
      <c r="K97" s="85"/>
      <c r="L97" s="85"/>
      <c r="M97" s="85"/>
      <c r="N97" s="85">
        <v>50</v>
      </c>
      <c r="O97"/>
      <c r="P97"/>
      <c r="Q97" s="66"/>
      <c r="R97" s="66"/>
    </row>
    <row r="98" spans="9:18" x14ac:dyDescent="0.25">
      <c r="I98" s="66" t="s">
        <v>432</v>
      </c>
      <c r="J98" s="85"/>
      <c r="K98" s="85"/>
      <c r="L98" s="85"/>
      <c r="M98" s="85">
        <v>136</v>
      </c>
      <c r="N98" s="85"/>
      <c r="O98"/>
      <c r="P98"/>
      <c r="Q98" s="66"/>
      <c r="R98" s="66"/>
    </row>
    <row r="99" spans="9:18" x14ac:dyDescent="0.25">
      <c r="I99" s="66" t="s">
        <v>322</v>
      </c>
      <c r="J99" s="85"/>
      <c r="K99" s="85"/>
      <c r="L99" s="85"/>
      <c r="M99" s="85">
        <v>4</v>
      </c>
      <c r="N99" s="85"/>
      <c r="O99"/>
      <c r="P99"/>
      <c r="Q99" s="66"/>
      <c r="R99" s="66"/>
    </row>
    <row r="100" spans="9:18" x14ac:dyDescent="0.25">
      <c r="I100" s="66" t="s">
        <v>433</v>
      </c>
      <c r="J100" s="85"/>
      <c r="K100" s="85">
        <v>12</v>
      </c>
      <c r="L100" s="85">
        <v>13</v>
      </c>
      <c r="M100" s="85"/>
      <c r="N100" s="85">
        <v>20</v>
      </c>
      <c r="O100"/>
      <c r="P100"/>
      <c r="Q100" s="66"/>
      <c r="R100" s="66"/>
    </row>
    <row r="101" spans="9:18" x14ac:dyDescent="0.25">
      <c r="I101" s="66" t="s">
        <v>434</v>
      </c>
      <c r="J101" s="85"/>
      <c r="K101" s="85"/>
      <c r="L101" s="85"/>
      <c r="M101" s="85">
        <v>4</v>
      </c>
      <c r="N101" s="85"/>
      <c r="O101"/>
      <c r="P101"/>
      <c r="Q101" s="66"/>
      <c r="R101" s="66"/>
    </row>
    <row r="102" spans="9:18" x14ac:dyDescent="0.25">
      <c r="I102" s="66" t="s">
        <v>305</v>
      </c>
      <c r="J102" s="85"/>
      <c r="K102" s="85"/>
      <c r="L102" s="85"/>
      <c r="M102" s="85"/>
      <c r="N102" s="85">
        <v>100</v>
      </c>
      <c r="O102"/>
      <c r="P102"/>
      <c r="Q102" s="66"/>
      <c r="R102" s="66"/>
    </row>
    <row r="103" spans="9:18" x14ac:dyDescent="0.25">
      <c r="I103" s="66" t="s">
        <v>435</v>
      </c>
      <c r="J103" s="85"/>
      <c r="K103" s="85">
        <v>25</v>
      </c>
      <c r="L103" s="85">
        <v>35</v>
      </c>
      <c r="M103" s="85"/>
      <c r="N103" s="85">
        <v>2900</v>
      </c>
      <c r="O103"/>
      <c r="P103"/>
      <c r="Q103" s="66"/>
      <c r="R103" s="66"/>
    </row>
    <row r="104" spans="9:18" x14ac:dyDescent="0.25">
      <c r="I104" s="66" t="s">
        <v>436</v>
      </c>
      <c r="J104" s="85"/>
      <c r="K104" s="85"/>
      <c r="L104" s="85">
        <v>10</v>
      </c>
      <c r="M104" s="85"/>
      <c r="N104" s="85"/>
      <c r="O104"/>
      <c r="P104"/>
      <c r="Q104" s="66"/>
      <c r="R104" s="66"/>
    </row>
    <row r="105" spans="9:18" x14ac:dyDescent="0.25">
      <c r="I105" s="66" t="s">
        <v>306</v>
      </c>
      <c r="J105" s="85"/>
      <c r="K105" s="85"/>
      <c r="L105" s="85"/>
      <c r="M105" s="85">
        <v>160</v>
      </c>
      <c r="N105" s="85">
        <v>280</v>
      </c>
      <c r="O105"/>
      <c r="P105"/>
      <c r="Q105" s="66"/>
      <c r="R105" s="66"/>
    </row>
    <row r="106" spans="9:18" x14ac:dyDescent="0.25">
      <c r="I106" s="66" t="s">
        <v>307</v>
      </c>
      <c r="J106" s="85"/>
      <c r="K106" s="85"/>
      <c r="L106" s="85"/>
      <c r="M106" s="85">
        <v>256</v>
      </c>
      <c r="N106" s="85">
        <v>710</v>
      </c>
      <c r="O106"/>
      <c r="P106"/>
      <c r="Q106" s="66"/>
      <c r="R106" s="66"/>
    </row>
    <row r="107" spans="9:18" x14ac:dyDescent="0.25">
      <c r="I107" s="66" t="s">
        <v>323</v>
      </c>
      <c r="J107" s="85"/>
      <c r="K107" s="85"/>
      <c r="L107" s="85"/>
      <c r="M107" s="85">
        <v>14</v>
      </c>
      <c r="N107" s="85"/>
      <c r="O107"/>
      <c r="P107"/>
      <c r="Q107" s="66"/>
      <c r="R107" s="66"/>
    </row>
    <row r="108" spans="9:18" x14ac:dyDescent="0.25">
      <c r="I108" s="66" t="s">
        <v>308</v>
      </c>
      <c r="J108" s="85"/>
      <c r="K108" s="85"/>
      <c r="L108" s="85"/>
      <c r="M108" s="85"/>
      <c r="N108" s="85">
        <v>100</v>
      </c>
      <c r="O108"/>
      <c r="P108"/>
      <c r="Q108" s="66"/>
      <c r="R108" s="66"/>
    </row>
    <row r="109" spans="9:18" x14ac:dyDescent="0.25">
      <c r="I109" s="66" t="s">
        <v>309</v>
      </c>
      <c r="J109" s="85"/>
      <c r="K109" s="85"/>
      <c r="L109" s="85"/>
      <c r="M109" s="85">
        <v>52</v>
      </c>
      <c r="N109" s="85">
        <v>210</v>
      </c>
      <c r="O109"/>
      <c r="P109"/>
      <c r="Q109" s="66"/>
      <c r="R109" s="66"/>
    </row>
    <row r="110" spans="9:18" x14ac:dyDescent="0.25">
      <c r="I110" s="66" t="s">
        <v>437</v>
      </c>
      <c r="J110" s="85"/>
      <c r="K110" s="85"/>
      <c r="L110" s="85"/>
      <c r="M110" s="85">
        <v>32</v>
      </c>
      <c r="N110" s="85"/>
      <c r="O110"/>
      <c r="P110"/>
      <c r="Q110" s="66"/>
      <c r="R110" s="66"/>
    </row>
    <row r="111" spans="9:18" x14ac:dyDescent="0.25">
      <c r="I111" s="66" t="s">
        <v>310</v>
      </c>
      <c r="J111" s="85"/>
      <c r="K111" s="85"/>
      <c r="L111" s="85"/>
      <c r="M111" s="85">
        <v>48</v>
      </c>
      <c r="N111" s="85">
        <v>40</v>
      </c>
      <c r="O111"/>
      <c r="P111"/>
      <c r="Q111" s="66"/>
      <c r="R111" s="66"/>
    </row>
    <row r="112" spans="9:18" x14ac:dyDescent="0.25">
      <c r="I112" s="66" t="s">
        <v>438</v>
      </c>
      <c r="J112" s="85"/>
      <c r="K112" s="85"/>
      <c r="L112" s="85"/>
      <c r="M112" s="85"/>
      <c r="N112" s="85">
        <v>600</v>
      </c>
      <c r="O112"/>
      <c r="P112"/>
      <c r="Q112" s="66"/>
      <c r="R112" s="66"/>
    </row>
    <row r="113" spans="9:18" x14ac:dyDescent="0.25">
      <c r="I113" s="66" t="s">
        <v>311</v>
      </c>
      <c r="J113" s="85"/>
      <c r="K113" s="85"/>
      <c r="L113" s="85"/>
      <c r="M113" s="85">
        <v>8</v>
      </c>
      <c r="N113" s="85">
        <v>350</v>
      </c>
      <c r="O113"/>
      <c r="P113"/>
      <c r="Q113" s="66"/>
      <c r="R113" s="66"/>
    </row>
    <row r="114" spans="9:18" x14ac:dyDescent="0.25">
      <c r="I114" s="66" t="s">
        <v>268</v>
      </c>
      <c r="J114" s="85">
        <v>6</v>
      </c>
      <c r="K114" s="85">
        <v>467</v>
      </c>
      <c r="L114" s="85">
        <v>278</v>
      </c>
      <c r="M114" s="85">
        <v>2188</v>
      </c>
      <c r="N114" s="85">
        <v>27775</v>
      </c>
      <c r="O114"/>
      <c r="P114"/>
      <c r="Q114" s="66"/>
      <c r="R114" s="66"/>
    </row>
    <row r="115" spans="9:18" x14ac:dyDescent="0.25">
      <c r="I115"/>
      <c r="J115"/>
      <c r="K115"/>
      <c r="L115"/>
      <c r="M115"/>
      <c r="N115"/>
      <c r="O115"/>
      <c r="P115"/>
      <c r="Q115" s="66"/>
      <c r="R115" s="66"/>
    </row>
    <row r="116" spans="9:18" x14ac:dyDescent="0.25">
      <c r="I116"/>
      <c r="J116"/>
      <c r="K116"/>
      <c r="L116"/>
      <c r="M116"/>
      <c r="N116"/>
      <c r="O116"/>
      <c r="P116"/>
      <c r="Q116" s="66"/>
      <c r="R116" s="66"/>
    </row>
    <row r="117" spans="9:18" x14ac:dyDescent="0.25">
      <c r="I117"/>
      <c r="J117"/>
      <c r="K117"/>
      <c r="L117"/>
      <c r="M117"/>
      <c r="N117"/>
      <c r="O117"/>
      <c r="P117"/>
      <c r="Q117" s="66"/>
      <c r="R117" s="66"/>
    </row>
    <row r="118" spans="9:18" x14ac:dyDescent="0.25">
      <c r="I118"/>
      <c r="J118"/>
      <c r="K118"/>
      <c r="L118"/>
      <c r="M118"/>
      <c r="N118"/>
      <c r="O118"/>
      <c r="P118"/>
      <c r="Q118" s="66"/>
      <c r="R118" s="66"/>
    </row>
    <row r="119" spans="9:18" x14ac:dyDescent="0.25">
      <c r="I119"/>
      <c r="J119"/>
      <c r="K119"/>
      <c r="L119"/>
      <c r="M119"/>
      <c r="N119"/>
      <c r="O119"/>
      <c r="P119"/>
      <c r="Q119" s="66"/>
      <c r="R119" s="66"/>
    </row>
    <row r="120" spans="9:18" x14ac:dyDescent="0.25">
      <c r="I120"/>
      <c r="J120"/>
      <c r="K120"/>
      <c r="L120"/>
      <c r="M120"/>
      <c r="N120"/>
      <c r="O120"/>
      <c r="P120"/>
      <c r="Q120" s="66"/>
      <c r="R120" s="66"/>
    </row>
    <row r="121" spans="9:18" x14ac:dyDescent="0.25">
      <c r="I121"/>
      <c r="J121"/>
      <c r="K121"/>
      <c r="L121"/>
      <c r="M121"/>
      <c r="N121"/>
      <c r="O121"/>
      <c r="P121"/>
      <c r="Q121" s="66"/>
      <c r="R121" s="66"/>
    </row>
    <row r="122" spans="9:18" x14ac:dyDescent="0.25">
      <c r="I122"/>
      <c r="J122"/>
      <c r="K122"/>
      <c r="L122"/>
      <c r="M122"/>
      <c r="N122"/>
      <c r="O122"/>
      <c r="P122"/>
      <c r="Q122" s="66"/>
      <c r="R122" s="66"/>
    </row>
    <row r="123" spans="9:18" x14ac:dyDescent="0.25">
      <c r="I123"/>
      <c r="J123"/>
      <c r="K123"/>
      <c r="L123"/>
      <c r="M123"/>
      <c r="N123"/>
      <c r="O123"/>
      <c r="P123"/>
      <c r="Q123" s="66"/>
      <c r="R123" s="66"/>
    </row>
    <row r="124" spans="9:18" x14ac:dyDescent="0.25">
      <c r="I124"/>
      <c r="J124"/>
      <c r="K124"/>
      <c r="L124"/>
      <c r="M124"/>
      <c r="N124"/>
      <c r="O124"/>
      <c r="P124"/>
      <c r="Q124" s="66"/>
      <c r="R124" s="66"/>
    </row>
    <row r="125" spans="9:18" x14ac:dyDescent="0.25">
      <c r="I125"/>
      <c r="J125"/>
      <c r="K125"/>
      <c r="L125"/>
      <c r="M125"/>
      <c r="N125"/>
      <c r="O125"/>
      <c r="P125"/>
      <c r="Q125" s="66"/>
      <c r="R125" s="66"/>
    </row>
    <row r="126" spans="9:18" x14ac:dyDescent="0.25">
      <c r="I126"/>
      <c r="J126"/>
      <c r="K126"/>
      <c r="L126"/>
      <c r="M126"/>
      <c r="N126"/>
      <c r="O126"/>
      <c r="P126"/>
      <c r="Q126" s="66"/>
      <c r="R126" s="66"/>
    </row>
    <row r="127" spans="9:18" x14ac:dyDescent="0.25">
      <c r="I127"/>
      <c r="J127"/>
      <c r="K127"/>
      <c r="L127"/>
      <c r="M127"/>
      <c r="N127"/>
      <c r="O127"/>
      <c r="P127"/>
      <c r="Q127" s="66"/>
      <c r="R127" s="66"/>
    </row>
    <row r="128" spans="9:18" x14ac:dyDescent="0.25">
      <c r="I128"/>
      <c r="J128"/>
      <c r="K128"/>
      <c r="L128"/>
      <c r="M128"/>
      <c r="N128"/>
      <c r="O128"/>
      <c r="P128"/>
      <c r="Q128" s="66"/>
      <c r="R128" s="66"/>
    </row>
    <row r="129" spans="9:18" x14ac:dyDescent="0.25">
      <c r="I129"/>
      <c r="J129"/>
      <c r="K129"/>
      <c r="L129"/>
      <c r="M129"/>
      <c r="N129"/>
      <c r="O129"/>
      <c r="P129"/>
      <c r="Q129" s="66"/>
      <c r="R129" s="66"/>
    </row>
    <row r="130" spans="9:18" x14ac:dyDescent="0.25">
      <c r="I130"/>
      <c r="J130"/>
      <c r="K130"/>
      <c r="L130"/>
      <c r="M130"/>
      <c r="N130"/>
      <c r="O130"/>
      <c r="P130"/>
      <c r="Q130" s="66"/>
      <c r="R130" s="66"/>
    </row>
    <row r="131" spans="9:18" x14ac:dyDescent="0.25">
      <c r="I131"/>
      <c r="J131"/>
      <c r="K131"/>
      <c r="L131"/>
      <c r="M131"/>
      <c r="N131"/>
      <c r="O131"/>
      <c r="P131"/>
      <c r="Q131" s="66"/>
      <c r="R131" s="66"/>
    </row>
    <row r="132" spans="9:18" x14ac:dyDescent="0.25">
      <c r="I132"/>
      <c r="J132"/>
      <c r="K132"/>
      <c r="L132"/>
      <c r="M132"/>
      <c r="N132"/>
      <c r="O132"/>
      <c r="P132"/>
      <c r="Q132" s="66"/>
      <c r="R132" s="66"/>
    </row>
    <row r="133" spans="9:18" x14ac:dyDescent="0.25">
      <c r="I133"/>
      <c r="J133"/>
      <c r="K133"/>
      <c r="L133"/>
      <c r="M133"/>
      <c r="N133"/>
      <c r="O133"/>
      <c r="P133"/>
      <c r="Q133" s="66"/>
      <c r="R133" s="66"/>
    </row>
    <row r="134" spans="9:18" x14ac:dyDescent="0.25">
      <c r="I134"/>
      <c r="J134"/>
      <c r="K134"/>
      <c r="L134"/>
      <c r="M134"/>
      <c r="N134"/>
      <c r="O134"/>
      <c r="P134"/>
      <c r="Q134" s="66"/>
      <c r="R134" s="66"/>
    </row>
    <row r="135" spans="9:18" x14ac:dyDescent="0.25">
      <c r="I135"/>
      <c r="J135"/>
      <c r="K135"/>
      <c r="L135"/>
      <c r="M135"/>
      <c r="N135"/>
      <c r="O135"/>
      <c r="P135"/>
      <c r="Q135" s="66"/>
      <c r="R135" s="66"/>
    </row>
    <row r="136" spans="9:18" x14ac:dyDescent="0.25">
      <c r="I136"/>
      <c r="J136"/>
      <c r="K136"/>
      <c r="L136"/>
      <c r="M136"/>
      <c r="N136"/>
      <c r="O136"/>
      <c r="P136"/>
      <c r="Q136" s="66"/>
      <c r="R136" s="66"/>
    </row>
    <row r="137" spans="9:18" x14ac:dyDescent="0.25">
      <c r="I137"/>
      <c r="J137"/>
      <c r="K137"/>
      <c r="L137"/>
      <c r="M137"/>
      <c r="N137"/>
      <c r="O137"/>
      <c r="P137"/>
      <c r="Q137" s="66"/>
      <c r="R137" s="66"/>
    </row>
    <row r="138" spans="9:18" x14ac:dyDescent="0.25">
      <c r="I138"/>
      <c r="J138"/>
      <c r="K138"/>
      <c r="L138"/>
      <c r="M138"/>
      <c r="N138"/>
      <c r="O138"/>
      <c r="P138"/>
      <c r="Q138" s="66"/>
      <c r="R138" s="66"/>
    </row>
    <row r="139" spans="9:18" x14ac:dyDescent="0.25">
      <c r="I139"/>
      <c r="J139"/>
      <c r="K139"/>
      <c r="L139"/>
      <c r="M139"/>
      <c r="N139"/>
      <c r="O139"/>
      <c r="P139"/>
      <c r="Q139" s="66"/>
      <c r="R139" s="66"/>
    </row>
    <row r="140" spans="9:18" x14ac:dyDescent="0.25">
      <c r="I140"/>
      <c r="J140"/>
      <c r="K140"/>
      <c r="L140"/>
      <c r="M140"/>
      <c r="N140"/>
      <c r="O140"/>
      <c r="P140"/>
      <c r="Q140" s="66"/>
      <c r="R140" s="66"/>
    </row>
    <row r="141" spans="9:18" x14ac:dyDescent="0.25">
      <c r="I141"/>
      <c r="J141"/>
      <c r="K141"/>
      <c r="L141"/>
      <c r="M141"/>
      <c r="N141"/>
      <c r="O141"/>
      <c r="P141"/>
      <c r="Q141" s="66"/>
      <c r="R141" s="66"/>
    </row>
    <row r="142" spans="9:18" x14ac:dyDescent="0.25">
      <c r="I142"/>
      <c r="J142"/>
      <c r="K142"/>
      <c r="L142"/>
      <c r="M142"/>
      <c r="N142"/>
      <c r="O142"/>
      <c r="P142"/>
      <c r="Q142" s="66"/>
      <c r="R142" s="66"/>
    </row>
    <row r="143" spans="9:18" x14ac:dyDescent="0.25">
      <c r="I143"/>
      <c r="J143"/>
      <c r="K143"/>
      <c r="L143"/>
      <c r="M143"/>
      <c r="N143"/>
      <c r="O143"/>
      <c r="P143"/>
      <c r="Q143" s="66"/>
      <c r="R143" s="66"/>
    </row>
    <row r="144" spans="9:18" x14ac:dyDescent="0.25">
      <c r="I144"/>
      <c r="J144"/>
      <c r="K144"/>
      <c r="L144"/>
      <c r="M144"/>
      <c r="N144"/>
      <c r="O144"/>
      <c r="P144"/>
      <c r="Q144" s="66"/>
      <c r="R144" s="66"/>
    </row>
    <row r="145" spans="9:18" x14ac:dyDescent="0.25">
      <c r="I145"/>
      <c r="J145"/>
      <c r="K145"/>
      <c r="L145"/>
      <c r="M145"/>
      <c r="N145"/>
      <c r="O145"/>
      <c r="P145"/>
      <c r="Q145" s="66"/>
      <c r="R145" s="66"/>
    </row>
    <row r="146" spans="9:18" x14ac:dyDescent="0.25">
      <c r="I146"/>
      <c r="J146"/>
      <c r="K146"/>
      <c r="L146"/>
      <c r="M146"/>
      <c r="N146"/>
      <c r="O146"/>
      <c r="P146"/>
      <c r="Q146" s="66"/>
      <c r="R146" s="66"/>
    </row>
    <row r="147" spans="9:18" x14ac:dyDescent="0.25">
      <c r="I147"/>
      <c r="J147"/>
      <c r="K147"/>
      <c r="L147"/>
      <c r="M147"/>
      <c r="N147"/>
      <c r="O147"/>
      <c r="P147"/>
      <c r="Q147" s="66"/>
      <c r="R147" s="66"/>
    </row>
    <row r="148" spans="9:18" x14ac:dyDescent="0.25">
      <c r="I148"/>
      <c r="J148"/>
      <c r="K148"/>
      <c r="L148"/>
      <c r="M148"/>
      <c r="N148"/>
      <c r="O148"/>
      <c r="P148"/>
      <c r="Q148" s="66"/>
      <c r="R148" s="66"/>
    </row>
    <row r="149" spans="9:18" x14ac:dyDescent="0.25">
      <c r="I149"/>
      <c r="J149"/>
      <c r="K149"/>
      <c r="L149"/>
      <c r="M149"/>
      <c r="N149"/>
      <c r="O149"/>
      <c r="P149"/>
      <c r="Q149" s="66"/>
      <c r="R149" s="66"/>
    </row>
    <row r="150" spans="9:18" x14ac:dyDescent="0.25">
      <c r="I150"/>
      <c r="J150"/>
      <c r="K150"/>
      <c r="L150"/>
      <c r="M150"/>
      <c r="N150"/>
      <c r="O150"/>
      <c r="P150"/>
      <c r="Q150" s="66"/>
      <c r="R150" s="66"/>
    </row>
    <row r="151" spans="9:18" x14ac:dyDescent="0.25">
      <c r="I151"/>
      <c r="J151"/>
      <c r="K151"/>
      <c r="L151"/>
      <c r="M151"/>
      <c r="N151"/>
      <c r="O151"/>
      <c r="P151"/>
      <c r="Q151" s="66"/>
      <c r="R151" s="66"/>
    </row>
    <row r="152" spans="9:18" x14ac:dyDescent="0.25">
      <c r="I152"/>
      <c r="J152"/>
      <c r="K152"/>
      <c r="L152"/>
      <c r="M152"/>
      <c r="N152"/>
      <c r="O152"/>
      <c r="P152"/>
      <c r="Q152" s="66"/>
      <c r="R152" s="66"/>
    </row>
    <row r="153" spans="9:18" x14ac:dyDescent="0.25">
      <c r="I153"/>
      <c r="J153"/>
      <c r="K153"/>
      <c r="L153"/>
      <c r="M153"/>
      <c r="N153"/>
      <c r="O153"/>
      <c r="P153"/>
      <c r="Q153" s="66"/>
      <c r="R153" s="66"/>
    </row>
    <row r="154" spans="9:18" x14ac:dyDescent="0.25">
      <c r="I154"/>
      <c r="J154"/>
      <c r="K154"/>
      <c r="L154"/>
      <c r="M154"/>
      <c r="N154"/>
      <c r="O154"/>
      <c r="P154"/>
      <c r="Q154" s="66"/>
      <c r="R154" s="66"/>
    </row>
    <row r="155" spans="9:18" x14ac:dyDescent="0.25">
      <c r="I155"/>
      <c r="J155"/>
      <c r="K155"/>
      <c r="L155"/>
      <c r="M155"/>
      <c r="N155"/>
      <c r="O155"/>
      <c r="P155"/>
      <c r="Q155" s="66"/>
      <c r="R155" s="66"/>
    </row>
    <row r="156" spans="9:18" x14ac:dyDescent="0.25">
      <c r="I156"/>
      <c r="J156"/>
      <c r="K156"/>
      <c r="L156"/>
      <c r="M156"/>
      <c r="N156"/>
      <c r="O156"/>
      <c r="P156"/>
      <c r="Q156" s="66"/>
      <c r="R156" s="66"/>
    </row>
    <row r="157" spans="9:18" x14ac:dyDescent="0.25">
      <c r="I157"/>
      <c r="J157"/>
      <c r="K157"/>
      <c r="L157"/>
      <c r="M157"/>
      <c r="N157"/>
      <c r="O157"/>
    </row>
    <row r="158" spans="9:18" x14ac:dyDescent="0.25">
      <c r="I158"/>
      <c r="J158"/>
      <c r="K158"/>
      <c r="L158"/>
      <c r="M158"/>
      <c r="N158"/>
      <c r="O158"/>
    </row>
    <row r="159" spans="9:18" x14ac:dyDescent="0.25">
      <c r="I159"/>
      <c r="J159"/>
      <c r="K159"/>
      <c r="L159"/>
      <c r="M159"/>
      <c r="N159"/>
      <c r="O159"/>
    </row>
    <row r="160" spans="9:18" x14ac:dyDescent="0.25">
      <c r="I160"/>
      <c r="J160"/>
      <c r="K160"/>
      <c r="L160"/>
      <c r="M160"/>
      <c r="N160"/>
      <c r="O160"/>
    </row>
    <row r="161" spans="9:15" x14ac:dyDescent="0.25">
      <c r="I161"/>
      <c r="J161"/>
      <c r="K161"/>
      <c r="L161"/>
      <c r="M161"/>
      <c r="N161"/>
      <c r="O161"/>
    </row>
    <row r="162" spans="9:15" x14ac:dyDescent="0.25">
      <c r="I162"/>
      <c r="J162"/>
      <c r="K162"/>
      <c r="L162"/>
      <c r="M162"/>
      <c r="N162"/>
      <c r="O162"/>
    </row>
    <row r="163" spans="9:15" x14ac:dyDescent="0.25">
      <c r="I163"/>
      <c r="J163"/>
      <c r="K163"/>
      <c r="L163"/>
      <c r="M163"/>
      <c r="N163"/>
      <c r="O163"/>
    </row>
    <row r="164" spans="9:15" x14ac:dyDescent="0.25">
      <c r="I164"/>
      <c r="J164"/>
      <c r="K164"/>
      <c r="L164"/>
      <c r="M164"/>
      <c r="N164"/>
      <c r="O164"/>
    </row>
    <row r="165" spans="9:15" x14ac:dyDescent="0.25">
      <c r="I165"/>
      <c r="J165"/>
      <c r="K165"/>
      <c r="L165"/>
      <c r="M165"/>
      <c r="N165"/>
      <c r="O165"/>
    </row>
    <row r="166" spans="9:15" x14ac:dyDescent="0.25">
      <c r="I166"/>
      <c r="J166"/>
      <c r="K166"/>
      <c r="L166"/>
      <c r="M166"/>
      <c r="N166"/>
      <c r="O166"/>
    </row>
    <row r="167" spans="9:15" x14ac:dyDescent="0.25">
      <c r="I167"/>
      <c r="J167"/>
      <c r="K167"/>
      <c r="L167"/>
      <c r="M167"/>
      <c r="N167"/>
      <c r="O167"/>
    </row>
    <row r="168" spans="9:15" x14ac:dyDescent="0.25">
      <c r="I168"/>
      <c r="J168"/>
      <c r="K168"/>
      <c r="L168"/>
      <c r="M168"/>
      <c r="N168"/>
      <c r="O168"/>
    </row>
    <row r="169" spans="9:15" x14ac:dyDescent="0.25">
      <c r="I169"/>
      <c r="J169"/>
      <c r="K169"/>
      <c r="L169"/>
      <c r="M169"/>
      <c r="N169"/>
      <c r="O169"/>
    </row>
    <row r="170" spans="9:15" x14ac:dyDescent="0.25">
      <c r="I170"/>
      <c r="J170"/>
      <c r="K170"/>
      <c r="L170"/>
      <c r="M170"/>
      <c r="N170"/>
      <c r="O170"/>
    </row>
    <row r="171" spans="9:15" x14ac:dyDescent="0.25">
      <c r="I171"/>
      <c r="J171"/>
      <c r="K171"/>
      <c r="L171"/>
      <c r="M171"/>
      <c r="N171"/>
      <c r="O171"/>
    </row>
    <row r="172" spans="9:15" x14ac:dyDescent="0.25">
      <c r="I172"/>
      <c r="J172"/>
      <c r="K172"/>
      <c r="L172"/>
      <c r="M172"/>
      <c r="N172"/>
      <c r="O172"/>
    </row>
    <row r="173" spans="9:15" x14ac:dyDescent="0.25">
      <c r="I173"/>
      <c r="J173"/>
      <c r="K173"/>
      <c r="L173"/>
      <c r="M173"/>
      <c r="N173"/>
      <c r="O173"/>
    </row>
    <row r="174" spans="9:15" x14ac:dyDescent="0.25">
      <c r="I174"/>
      <c r="J174"/>
      <c r="K174"/>
      <c r="L174"/>
      <c r="M174"/>
      <c r="N174"/>
      <c r="O174"/>
    </row>
    <row r="175" spans="9:15" x14ac:dyDescent="0.25">
      <c r="I175"/>
      <c r="J175"/>
      <c r="K175"/>
      <c r="L175"/>
      <c r="M175"/>
      <c r="N175"/>
      <c r="O175"/>
    </row>
    <row r="176" spans="9:15" x14ac:dyDescent="0.25">
      <c r="I176"/>
      <c r="J176"/>
      <c r="K176"/>
      <c r="L176"/>
      <c r="M176"/>
      <c r="N176"/>
      <c r="O176"/>
    </row>
    <row r="177" spans="9:15" x14ac:dyDescent="0.25">
      <c r="I177"/>
      <c r="J177"/>
      <c r="K177"/>
      <c r="L177"/>
      <c r="M177"/>
      <c r="N177"/>
      <c r="O177"/>
    </row>
    <row r="178" spans="9:15" x14ac:dyDescent="0.25">
      <c r="I178"/>
      <c r="J178"/>
      <c r="K178"/>
      <c r="L178"/>
      <c r="M178"/>
      <c r="N178"/>
      <c r="O178"/>
    </row>
    <row r="179" spans="9:15" x14ac:dyDescent="0.25">
      <c r="I179"/>
      <c r="J179"/>
      <c r="K179"/>
      <c r="L179"/>
      <c r="M179"/>
      <c r="N179"/>
      <c r="O179"/>
    </row>
    <row r="180" spans="9:15" x14ac:dyDescent="0.25">
      <c r="I180"/>
      <c r="J180"/>
      <c r="K180"/>
      <c r="L180"/>
      <c r="M180"/>
      <c r="N180"/>
      <c r="O180"/>
    </row>
    <row r="181" spans="9:15" x14ac:dyDescent="0.25">
      <c r="I181"/>
      <c r="J181"/>
      <c r="K181"/>
      <c r="L181"/>
      <c r="M181"/>
      <c r="N181"/>
      <c r="O181"/>
    </row>
    <row r="182" spans="9:15" x14ac:dyDescent="0.25">
      <c r="I182"/>
      <c r="J182"/>
      <c r="K182"/>
      <c r="L182"/>
      <c r="M182"/>
      <c r="N182"/>
      <c r="O182"/>
    </row>
    <row r="183" spans="9:15" x14ac:dyDescent="0.25">
      <c r="I183"/>
      <c r="J183"/>
      <c r="K183"/>
      <c r="L183"/>
      <c r="M183"/>
      <c r="N183"/>
      <c r="O183"/>
    </row>
    <row r="184" spans="9:15" x14ac:dyDescent="0.25">
      <c r="I184"/>
      <c r="J184"/>
      <c r="K184"/>
      <c r="L184"/>
      <c r="M184"/>
      <c r="N184"/>
      <c r="O184"/>
    </row>
    <row r="185" spans="9:15" x14ac:dyDescent="0.25">
      <c r="I185"/>
      <c r="J185"/>
      <c r="K185"/>
      <c r="L185"/>
      <c r="M185"/>
      <c r="N185"/>
      <c r="O185"/>
    </row>
    <row r="186" spans="9:15" x14ac:dyDescent="0.25">
      <c r="I186"/>
      <c r="J186"/>
      <c r="K186"/>
      <c r="L186"/>
      <c r="M186"/>
      <c r="N186"/>
      <c r="O186"/>
    </row>
    <row r="187" spans="9:15" x14ac:dyDescent="0.25">
      <c r="I187"/>
      <c r="J187"/>
      <c r="K187"/>
      <c r="L187"/>
      <c r="M187"/>
      <c r="N187"/>
      <c r="O187"/>
    </row>
    <row r="188" spans="9:15" x14ac:dyDescent="0.25">
      <c r="I188"/>
      <c r="J188"/>
      <c r="K188"/>
      <c r="L188"/>
      <c r="M188"/>
      <c r="N188"/>
      <c r="O188"/>
    </row>
    <row r="189" spans="9:15" x14ac:dyDescent="0.25">
      <c r="I189"/>
      <c r="J189"/>
      <c r="K189"/>
      <c r="L189"/>
      <c r="M189"/>
      <c r="N189"/>
      <c r="O189"/>
    </row>
    <row r="190" spans="9:15" x14ac:dyDescent="0.25">
      <c r="I190"/>
      <c r="J190"/>
      <c r="K190"/>
      <c r="L190"/>
      <c r="M190"/>
      <c r="N190"/>
      <c r="O190"/>
    </row>
    <row r="191" spans="9:15" x14ac:dyDescent="0.25">
      <c r="I191"/>
      <c r="J191"/>
      <c r="K191"/>
      <c r="L191"/>
      <c r="M191"/>
      <c r="N191"/>
      <c r="O191"/>
    </row>
    <row r="192" spans="9:15" x14ac:dyDescent="0.25">
      <c r="I192"/>
      <c r="J192"/>
      <c r="K192"/>
      <c r="L192"/>
      <c r="M192"/>
      <c r="N192"/>
      <c r="O192"/>
    </row>
    <row r="193" spans="9:15" x14ac:dyDescent="0.25">
      <c r="I193"/>
      <c r="J193"/>
      <c r="K193"/>
      <c r="L193"/>
      <c r="M193"/>
      <c r="N193"/>
      <c r="O193"/>
    </row>
    <row r="194" spans="9:15" x14ac:dyDescent="0.25">
      <c r="I194"/>
      <c r="J194"/>
      <c r="K194"/>
      <c r="L194"/>
      <c r="M194"/>
      <c r="N194"/>
      <c r="O194"/>
    </row>
    <row r="195" spans="9:15" x14ac:dyDescent="0.25">
      <c r="I195"/>
      <c r="J195"/>
      <c r="K195"/>
      <c r="L195"/>
      <c r="M195"/>
      <c r="N195"/>
      <c r="O195"/>
    </row>
    <row r="196" spans="9:15" x14ac:dyDescent="0.25">
      <c r="I196"/>
      <c r="J196"/>
      <c r="K196"/>
      <c r="L196"/>
      <c r="M196"/>
      <c r="N196"/>
      <c r="O196"/>
    </row>
    <row r="197" spans="9:15" x14ac:dyDescent="0.25">
      <c r="I197"/>
      <c r="J197"/>
      <c r="K197"/>
      <c r="L197"/>
      <c r="M197"/>
      <c r="N197"/>
      <c r="O197"/>
    </row>
    <row r="198" spans="9:15" x14ac:dyDescent="0.25">
      <c r="I198"/>
      <c r="J198"/>
      <c r="K198"/>
      <c r="L198"/>
      <c r="M198"/>
      <c r="N198"/>
      <c r="O198"/>
    </row>
    <row r="199" spans="9:15" x14ac:dyDescent="0.25">
      <c r="I199"/>
      <c r="J199"/>
      <c r="K199"/>
      <c r="L199"/>
      <c r="M199"/>
      <c r="N199"/>
      <c r="O199"/>
    </row>
    <row r="200" spans="9:15" x14ac:dyDescent="0.25">
      <c r="I200"/>
      <c r="J200"/>
      <c r="K200"/>
      <c r="L200"/>
      <c r="M200"/>
      <c r="N200"/>
      <c r="O200"/>
    </row>
    <row r="201" spans="9:15" x14ac:dyDescent="0.25">
      <c r="I201"/>
      <c r="J201"/>
      <c r="K201"/>
      <c r="L201"/>
      <c r="M201"/>
      <c r="N201"/>
      <c r="O201"/>
    </row>
    <row r="202" spans="9:15" x14ac:dyDescent="0.25">
      <c r="I202"/>
      <c r="J202"/>
      <c r="K202"/>
      <c r="L202"/>
      <c r="M202"/>
      <c r="N202"/>
      <c r="O202"/>
    </row>
    <row r="203" spans="9:15" x14ac:dyDescent="0.25">
      <c r="I203"/>
      <c r="J203"/>
      <c r="K203"/>
      <c r="L203"/>
      <c r="M203"/>
      <c r="N203"/>
      <c r="O203"/>
    </row>
    <row r="204" spans="9:15" x14ac:dyDescent="0.25">
      <c r="I204"/>
      <c r="J204"/>
      <c r="K204"/>
      <c r="L204"/>
      <c r="M204"/>
      <c r="N204"/>
      <c r="O204"/>
    </row>
    <row r="205" spans="9:15" x14ac:dyDescent="0.25">
      <c r="I205"/>
      <c r="J205"/>
      <c r="K205"/>
      <c r="L205"/>
      <c r="M205"/>
      <c r="N205"/>
      <c r="O205"/>
    </row>
    <row r="206" spans="9:15" x14ac:dyDescent="0.25">
      <c r="I206"/>
      <c r="J206"/>
      <c r="K206"/>
      <c r="L206"/>
      <c r="M206"/>
      <c r="N206"/>
      <c r="O206"/>
    </row>
    <row r="207" spans="9:15" x14ac:dyDescent="0.25">
      <c r="I207"/>
      <c r="J207"/>
      <c r="K207"/>
      <c r="L207"/>
      <c r="M207"/>
      <c r="N207"/>
      <c r="O207"/>
    </row>
    <row r="208" spans="9:15" x14ac:dyDescent="0.25">
      <c r="I208"/>
      <c r="J208"/>
      <c r="K208"/>
      <c r="L208"/>
      <c r="M208"/>
      <c r="N208"/>
      <c r="O208"/>
    </row>
    <row r="209" spans="9:15" x14ac:dyDescent="0.25">
      <c r="I209"/>
      <c r="J209"/>
      <c r="K209"/>
      <c r="L209"/>
      <c r="M209"/>
      <c r="N209"/>
      <c r="O209"/>
    </row>
    <row r="210" spans="9:15" x14ac:dyDescent="0.25">
      <c r="I210"/>
      <c r="J210"/>
      <c r="K210"/>
      <c r="L210"/>
      <c r="M210"/>
      <c r="N210"/>
      <c r="O210"/>
    </row>
    <row r="211" spans="9:15" x14ac:dyDescent="0.25">
      <c r="I211"/>
      <c r="J211"/>
      <c r="K211"/>
      <c r="L211"/>
      <c r="M211"/>
      <c r="N211"/>
      <c r="O211"/>
    </row>
    <row r="212" spans="9:15" x14ac:dyDescent="0.25">
      <c r="I212"/>
      <c r="J212"/>
      <c r="K212"/>
      <c r="L212"/>
      <c r="M212"/>
      <c r="N212"/>
      <c r="O212"/>
    </row>
    <row r="213" spans="9:15" x14ac:dyDescent="0.25">
      <c r="I213"/>
      <c r="J213"/>
      <c r="K213"/>
      <c r="L213"/>
      <c r="M213"/>
      <c r="N213"/>
      <c r="O213"/>
    </row>
    <row r="214" spans="9:15" x14ac:dyDescent="0.25">
      <c r="I214"/>
      <c r="J214"/>
      <c r="K214"/>
      <c r="L214"/>
      <c r="M214"/>
      <c r="N214"/>
      <c r="O214"/>
    </row>
    <row r="215" spans="9:15" x14ac:dyDescent="0.25">
      <c r="I215"/>
      <c r="J215"/>
      <c r="K215"/>
      <c r="L215"/>
      <c r="M215"/>
      <c r="N215"/>
      <c r="O215"/>
    </row>
    <row r="216" spans="9:15" x14ac:dyDescent="0.25">
      <c r="I216"/>
      <c r="J216"/>
      <c r="K216"/>
      <c r="L216"/>
      <c r="M216"/>
      <c r="N216"/>
      <c r="O216"/>
    </row>
    <row r="217" spans="9:15" x14ac:dyDescent="0.25">
      <c r="I217"/>
      <c r="J217"/>
      <c r="K217"/>
      <c r="L217"/>
      <c r="M217"/>
      <c r="N217"/>
      <c r="O217"/>
    </row>
    <row r="218" spans="9:15" x14ac:dyDescent="0.25">
      <c r="I218"/>
      <c r="J218"/>
      <c r="K218"/>
      <c r="L218"/>
      <c r="M218"/>
      <c r="N218"/>
      <c r="O218"/>
    </row>
    <row r="219" spans="9:15" x14ac:dyDescent="0.25">
      <c r="I219"/>
      <c r="J219"/>
      <c r="K219"/>
      <c r="L219"/>
      <c r="M219"/>
      <c r="N219"/>
      <c r="O219"/>
    </row>
    <row r="220" spans="9:15" x14ac:dyDescent="0.25">
      <c r="I220"/>
      <c r="J220"/>
      <c r="K220"/>
      <c r="L220"/>
      <c r="M220"/>
      <c r="N220"/>
      <c r="O220"/>
    </row>
    <row r="221" spans="9:15" x14ac:dyDescent="0.25">
      <c r="I221"/>
      <c r="J221"/>
      <c r="K221"/>
      <c r="L221"/>
      <c r="M221"/>
      <c r="N221"/>
      <c r="O221"/>
    </row>
    <row r="222" spans="9:15" x14ac:dyDescent="0.25">
      <c r="I222"/>
      <c r="J222"/>
      <c r="K222"/>
      <c r="L222"/>
      <c r="M222"/>
      <c r="N222"/>
      <c r="O222"/>
    </row>
    <row r="223" spans="9:15" x14ac:dyDescent="0.25">
      <c r="I223"/>
      <c r="J223"/>
      <c r="K223"/>
      <c r="L223"/>
      <c r="M223"/>
      <c r="N223"/>
      <c r="O223"/>
    </row>
    <row r="224" spans="9:15" x14ac:dyDescent="0.25">
      <c r="I224"/>
      <c r="J224"/>
      <c r="K224"/>
      <c r="L224"/>
      <c r="M224"/>
      <c r="N224"/>
      <c r="O224"/>
    </row>
    <row r="225" spans="9:15" x14ac:dyDescent="0.25">
      <c r="I225"/>
      <c r="J225"/>
      <c r="K225"/>
      <c r="L225"/>
      <c r="M225"/>
      <c r="N225"/>
      <c r="O225"/>
    </row>
    <row r="226" spans="9:15" x14ac:dyDescent="0.25">
      <c r="I226"/>
      <c r="J226"/>
      <c r="K226"/>
      <c r="L226"/>
      <c r="M226"/>
      <c r="N226"/>
      <c r="O226"/>
    </row>
    <row r="227" spans="9:15" x14ac:dyDescent="0.25">
      <c r="I227"/>
      <c r="J227"/>
      <c r="K227"/>
      <c r="L227"/>
      <c r="M227"/>
      <c r="N227"/>
      <c r="O227"/>
    </row>
    <row r="228" spans="9:15" x14ac:dyDescent="0.25">
      <c r="I228"/>
      <c r="J228"/>
      <c r="K228"/>
      <c r="L228"/>
      <c r="M228"/>
      <c r="N228"/>
      <c r="O228"/>
    </row>
    <row r="229" spans="9:15" x14ac:dyDescent="0.25">
      <c r="I229"/>
      <c r="J229"/>
      <c r="K229"/>
      <c r="L229"/>
      <c r="M229"/>
      <c r="N229"/>
      <c r="O229"/>
    </row>
    <row r="230" spans="9:15" x14ac:dyDescent="0.25">
      <c r="I230"/>
      <c r="J230"/>
      <c r="K230"/>
      <c r="L230"/>
      <c r="M230"/>
      <c r="N230"/>
      <c r="O230"/>
    </row>
    <row r="231" spans="9:15" x14ac:dyDescent="0.25">
      <c r="I231"/>
      <c r="J231"/>
      <c r="K231"/>
      <c r="L231"/>
      <c r="M231"/>
      <c r="N231"/>
      <c r="O231"/>
    </row>
    <row r="232" spans="9:15" x14ac:dyDescent="0.25">
      <c r="I232"/>
      <c r="J232"/>
      <c r="K232"/>
      <c r="L232"/>
      <c r="M232"/>
      <c r="N232"/>
      <c r="O232"/>
    </row>
    <row r="233" spans="9:15" x14ac:dyDescent="0.25">
      <c r="I233"/>
      <c r="J233"/>
      <c r="K233"/>
      <c r="L233"/>
      <c r="M233"/>
      <c r="N233"/>
      <c r="O233"/>
    </row>
    <row r="234" spans="9:15" x14ac:dyDescent="0.25">
      <c r="I234"/>
      <c r="J234"/>
      <c r="K234"/>
      <c r="L234"/>
      <c r="M234"/>
      <c r="N234"/>
      <c r="O234"/>
    </row>
    <row r="235" spans="9:15" x14ac:dyDescent="0.25">
      <c r="I235"/>
      <c r="J235"/>
      <c r="K235"/>
      <c r="L235"/>
      <c r="M235"/>
      <c r="N235"/>
      <c r="O235"/>
    </row>
    <row r="236" spans="9:15" x14ac:dyDescent="0.25">
      <c r="I236"/>
      <c r="J236"/>
      <c r="K236"/>
      <c r="L236"/>
      <c r="M236"/>
      <c r="N236"/>
      <c r="O236"/>
    </row>
    <row r="237" spans="9:15" x14ac:dyDescent="0.25">
      <c r="I237"/>
      <c r="J237"/>
      <c r="K237"/>
      <c r="L237"/>
      <c r="M237"/>
      <c r="N237"/>
      <c r="O237"/>
    </row>
    <row r="238" spans="9:15" x14ac:dyDescent="0.25">
      <c r="I238"/>
      <c r="J238"/>
      <c r="K238"/>
      <c r="L238"/>
      <c r="M238"/>
      <c r="N238"/>
      <c r="O238"/>
    </row>
    <row r="239" spans="9:15" x14ac:dyDescent="0.25">
      <c r="I239"/>
      <c r="J239"/>
      <c r="K239"/>
      <c r="L239"/>
      <c r="M239"/>
      <c r="N239"/>
      <c r="O239"/>
    </row>
    <row r="240" spans="9:15" x14ac:dyDescent="0.25">
      <c r="I240"/>
      <c r="J240"/>
      <c r="K240"/>
      <c r="L240"/>
      <c r="M240"/>
      <c r="N240"/>
      <c r="O240"/>
    </row>
    <row r="241" spans="9:15" x14ac:dyDescent="0.25">
      <c r="I241"/>
      <c r="J241"/>
      <c r="K241"/>
      <c r="L241"/>
      <c r="M241"/>
      <c r="N241"/>
      <c r="O241"/>
    </row>
    <row r="242" spans="9:15" x14ac:dyDescent="0.25">
      <c r="I242"/>
      <c r="J242"/>
      <c r="K242"/>
      <c r="L242"/>
      <c r="M242"/>
      <c r="N242"/>
      <c r="O242"/>
    </row>
    <row r="243" spans="9:15" x14ac:dyDescent="0.25">
      <c r="I243"/>
      <c r="J243"/>
      <c r="K243"/>
      <c r="L243"/>
      <c r="M243"/>
      <c r="N243"/>
      <c r="O243"/>
    </row>
    <row r="244" spans="9:15" x14ac:dyDescent="0.25">
      <c r="I244"/>
      <c r="J244"/>
      <c r="K244"/>
      <c r="L244"/>
      <c r="M244"/>
      <c r="N244"/>
      <c r="O244"/>
    </row>
    <row r="245" spans="9:15" x14ac:dyDescent="0.25">
      <c r="I245"/>
      <c r="J245"/>
      <c r="K245"/>
      <c r="L245"/>
      <c r="M245"/>
      <c r="N245"/>
      <c r="O245"/>
    </row>
    <row r="246" spans="9:15" x14ac:dyDescent="0.25">
      <c r="I246"/>
      <c r="J246"/>
      <c r="K246"/>
      <c r="L246"/>
      <c r="M246"/>
      <c r="N246"/>
      <c r="O246"/>
    </row>
    <row r="247" spans="9:15" x14ac:dyDescent="0.25">
      <c r="I247"/>
      <c r="J247"/>
      <c r="K247"/>
      <c r="L247"/>
      <c r="M247"/>
      <c r="N247"/>
      <c r="O247"/>
    </row>
    <row r="248" spans="9:15" x14ac:dyDescent="0.25">
      <c r="I248"/>
      <c r="J248"/>
      <c r="K248"/>
      <c r="L248"/>
      <c r="M248"/>
      <c r="N248"/>
      <c r="O248"/>
    </row>
    <row r="249" spans="9:15" x14ac:dyDescent="0.25">
      <c r="I249"/>
      <c r="J249"/>
      <c r="K249"/>
      <c r="L249"/>
      <c r="M249"/>
      <c r="N249"/>
      <c r="O249"/>
    </row>
    <row r="250" spans="9:15" x14ac:dyDescent="0.25">
      <c r="I250"/>
      <c r="J250"/>
      <c r="K250"/>
      <c r="L250"/>
      <c r="M250"/>
      <c r="N250"/>
      <c r="O250"/>
    </row>
    <row r="251" spans="9:15" x14ac:dyDescent="0.25">
      <c r="I251"/>
      <c r="J251"/>
      <c r="K251"/>
      <c r="L251"/>
      <c r="M251"/>
      <c r="N251"/>
      <c r="O251"/>
    </row>
    <row r="252" spans="9:15" x14ac:dyDescent="0.25">
      <c r="I252"/>
      <c r="J252"/>
      <c r="K252"/>
      <c r="L252"/>
      <c r="M252"/>
      <c r="N252"/>
      <c r="O252"/>
    </row>
    <row r="253" spans="9:15" x14ac:dyDescent="0.25">
      <c r="I253"/>
      <c r="J253"/>
      <c r="K253"/>
      <c r="L253"/>
      <c r="M253"/>
      <c r="N253"/>
      <c r="O253"/>
    </row>
    <row r="254" spans="9:15" x14ac:dyDescent="0.25">
      <c r="I254"/>
      <c r="J254"/>
      <c r="K254"/>
      <c r="L254"/>
      <c r="M254"/>
      <c r="N254"/>
      <c r="O254"/>
    </row>
    <row r="255" spans="9:15" x14ac:dyDescent="0.25">
      <c r="I255"/>
      <c r="J255"/>
      <c r="K255"/>
      <c r="L255"/>
      <c r="M255"/>
      <c r="N255"/>
      <c r="O255"/>
    </row>
    <row r="256" spans="9:15" x14ac:dyDescent="0.25">
      <c r="I256"/>
      <c r="J256"/>
      <c r="K256"/>
      <c r="L256"/>
      <c r="M256"/>
      <c r="N256"/>
      <c r="O256"/>
    </row>
    <row r="257" spans="9:15" x14ac:dyDescent="0.25">
      <c r="I257"/>
      <c r="J257"/>
      <c r="K257"/>
      <c r="L257"/>
      <c r="M257"/>
      <c r="N257"/>
      <c r="O257"/>
    </row>
    <row r="258" spans="9:15" x14ac:dyDescent="0.25">
      <c r="I258"/>
      <c r="J258"/>
      <c r="K258"/>
      <c r="L258"/>
      <c r="M258"/>
      <c r="N258"/>
      <c r="O258"/>
    </row>
    <row r="259" spans="9:15" x14ac:dyDescent="0.25">
      <c r="I259"/>
      <c r="J259"/>
      <c r="K259"/>
      <c r="L259"/>
      <c r="M259"/>
      <c r="N259"/>
      <c r="O259"/>
    </row>
    <row r="260" spans="9:15" x14ac:dyDescent="0.25">
      <c r="I260"/>
      <c r="J260"/>
      <c r="K260"/>
      <c r="L260"/>
      <c r="M260"/>
      <c r="N260"/>
      <c r="O260"/>
    </row>
    <row r="261" spans="9:15" x14ac:dyDescent="0.25">
      <c r="I261"/>
      <c r="J261"/>
      <c r="K261"/>
      <c r="L261"/>
      <c r="M261"/>
      <c r="N261"/>
      <c r="O261"/>
    </row>
    <row r="262" spans="9:15" x14ac:dyDescent="0.25">
      <c r="I262"/>
      <c r="J262"/>
      <c r="K262"/>
      <c r="L262"/>
      <c r="M262"/>
      <c r="N262"/>
      <c r="O262"/>
    </row>
    <row r="263" spans="9:15" x14ac:dyDescent="0.25">
      <c r="I263"/>
      <c r="J263"/>
      <c r="K263"/>
      <c r="L263"/>
      <c r="M263"/>
      <c r="N263"/>
      <c r="O263"/>
    </row>
    <row r="264" spans="9:15" x14ac:dyDescent="0.25">
      <c r="I264"/>
      <c r="J264"/>
      <c r="K264"/>
      <c r="L264"/>
      <c r="M264"/>
      <c r="N264"/>
      <c r="O264"/>
    </row>
    <row r="265" spans="9:15" x14ac:dyDescent="0.25">
      <c r="I265"/>
      <c r="J265"/>
      <c r="K265"/>
      <c r="L265"/>
      <c r="M265"/>
      <c r="N265"/>
      <c r="O265"/>
    </row>
    <row r="266" spans="9:15" x14ac:dyDescent="0.25">
      <c r="I266"/>
      <c r="J266"/>
      <c r="K266"/>
      <c r="L266"/>
      <c r="M266"/>
      <c r="N266"/>
      <c r="O266"/>
    </row>
    <row r="267" spans="9:15" x14ac:dyDescent="0.25">
      <c r="I267"/>
      <c r="J267"/>
      <c r="K267"/>
      <c r="L267"/>
      <c r="M267"/>
      <c r="N267"/>
      <c r="O267"/>
    </row>
    <row r="268" spans="9:15" x14ac:dyDescent="0.25">
      <c r="I268"/>
      <c r="J268"/>
      <c r="K268"/>
      <c r="L268"/>
      <c r="M268"/>
      <c r="N268"/>
      <c r="O268"/>
    </row>
    <row r="269" spans="9:15" x14ac:dyDescent="0.25">
      <c r="I269"/>
      <c r="J269"/>
      <c r="K269"/>
      <c r="L269"/>
      <c r="M269"/>
      <c r="N269"/>
      <c r="O269"/>
    </row>
    <row r="270" spans="9:15" x14ac:dyDescent="0.25">
      <c r="I270"/>
      <c r="J270"/>
      <c r="K270"/>
      <c r="L270"/>
      <c r="M270"/>
      <c r="N270"/>
      <c r="O270"/>
    </row>
    <row r="271" spans="9:15" x14ac:dyDescent="0.25">
      <c r="I271"/>
      <c r="J271"/>
      <c r="K271"/>
      <c r="L271"/>
      <c r="M271"/>
      <c r="N271"/>
      <c r="O271"/>
    </row>
    <row r="272" spans="9:15" x14ac:dyDescent="0.25">
      <c r="I272"/>
      <c r="J272"/>
      <c r="K272"/>
      <c r="L272"/>
      <c r="M272"/>
      <c r="N272"/>
      <c r="O272"/>
    </row>
    <row r="273" spans="9:15" x14ac:dyDescent="0.25">
      <c r="I273"/>
      <c r="J273"/>
      <c r="K273"/>
      <c r="L273"/>
      <c r="M273"/>
      <c r="N273"/>
      <c r="O273"/>
    </row>
    <row r="274" spans="9:15" x14ac:dyDescent="0.25">
      <c r="I274"/>
      <c r="J274"/>
      <c r="K274"/>
      <c r="L274"/>
      <c r="M274"/>
      <c r="N274"/>
      <c r="O274"/>
    </row>
    <row r="275" spans="9:15" x14ac:dyDescent="0.25">
      <c r="I275"/>
      <c r="J275"/>
      <c r="K275"/>
      <c r="L275"/>
      <c r="M275"/>
      <c r="N275"/>
      <c r="O275"/>
    </row>
    <row r="276" spans="9:15" x14ac:dyDescent="0.25">
      <c r="I276"/>
      <c r="J276"/>
      <c r="K276"/>
      <c r="L276"/>
      <c r="M276"/>
      <c r="N276"/>
      <c r="O276"/>
    </row>
    <row r="277" spans="9:15" x14ac:dyDescent="0.25">
      <c r="I277"/>
      <c r="J277"/>
      <c r="K277"/>
      <c r="L277"/>
      <c r="M277"/>
      <c r="N277"/>
      <c r="O277"/>
    </row>
    <row r="278" spans="9:15" x14ac:dyDescent="0.25">
      <c r="I278"/>
      <c r="J278"/>
      <c r="K278"/>
      <c r="L278"/>
      <c r="M278"/>
      <c r="N278"/>
      <c r="O278"/>
    </row>
    <row r="279" spans="9:15" x14ac:dyDescent="0.25">
      <c r="I279"/>
      <c r="J279"/>
      <c r="K279"/>
      <c r="L279"/>
      <c r="M279"/>
      <c r="N279"/>
      <c r="O279"/>
    </row>
    <row r="280" spans="9:15" x14ac:dyDescent="0.25">
      <c r="I280"/>
      <c r="J280"/>
      <c r="K280"/>
      <c r="L280"/>
      <c r="M280"/>
      <c r="N280"/>
      <c r="O280"/>
    </row>
    <row r="281" spans="9:15" x14ac:dyDescent="0.25">
      <c r="I281"/>
      <c r="J281"/>
      <c r="K281"/>
      <c r="L281"/>
      <c r="M281"/>
      <c r="N281"/>
      <c r="O281"/>
    </row>
    <row r="282" spans="9:15" x14ac:dyDescent="0.25">
      <c r="I282"/>
      <c r="J282"/>
      <c r="K282"/>
      <c r="L282"/>
      <c r="M282"/>
      <c r="N282"/>
      <c r="O282"/>
    </row>
    <row r="283" spans="9:15" x14ac:dyDescent="0.25">
      <c r="I283"/>
      <c r="J283"/>
      <c r="K283"/>
      <c r="L283"/>
      <c r="M283"/>
      <c r="N283"/>
      <c r="O283"/>
    </row>
    <row r="284" spans="9:15" x14ac:dyDescent="0.25">
      <c r="I284"/>
      <c r="J284"/>
      <c r="K284"/>
      <c r="L284"/>
      <c r="M284"/>
      <c r="N284"/>
      <c r="O284"/>
    </row>
    <row r="285" spans="9:15" x14ac:dyDescent="0.25">
      <c r="I285"/>
      <c r="J285"/>
      <c r="K285"/>
      <c r="L285"/>
      <c r="M285"/>
      <c r="N285"/>
      <c r="O285"/>
    </row>
    <row r="286" spans="9:15" x14ac:dyDescent="0.25">
      <c r="I286"/>
      <c r="J286"/>
      <c r="K286"/>
      <c r="L286"/>
      <c r="M286"/>
      <c r="N286"/>
      <c r="O286"/>
    </row>
    <row r="287" spans="9:15" x14ac:dyDescent="0.25">
      <c r="I287"/>
      <c r="J287"/>
      <c r="K287"/>
      <c r="L287"/>
      <c r="M287"/>
      <c r="N287"/>
      <c r="O287"/>
    </row>
    <row r="288" spans="9:15" x14ac:dyDescent="0.25">
      <c r="I288"/>
      <c r="J288"/>
      <c r="K288"/>
      <c r="L288"/>
      <c r="M288"/>
      <c r="N288"/>
      <c r="O288"/>
    </row>
    <row r="289" spans="9:15" x14ac:dyDescent="0.25">
      <c r="I289"/>
      <c r="J289"/>
      <c r="K289"/>
      <c r="L289"/>
      <c r="M289"/>
      <c r="N289"/>
      <c r="O289"/>
    </row>
    <row r="290" spans="9:15" x14ac:dyDescent="0.25">
      <c r="I290"/>
      <c r="J290"/>
      <c r="K290"/>
      <c r="L290"/>
      <c r="M290"/>
      <c r="N290"/>
      <c r="O290"/>
    </row>
    <row r="291" spans="9:15" x14ac:dyDescent="0.25">
      <c r="I291"/>
      <c r="J291"/>
      <c r="K291"/>
      <c r="L291"/>
      <c r="M291"/>
      <c r="N291"/>
      <c r="O291"/>
    </row>
    <row r="292" spans="9:15" x14ac:dyDescent="0.25">
      <c r="I292"/>
      <c r="J292"/>
      <c r="K292"/>
      <c r="L292"/>
      <c r="M292"/>
      <c r="N292"/>
      <c r="O292"/>
    </row>
    <row r="293" spans="9:15" x14ac:dyDescent="0.25">
      <c r="I293"/>
      <c r="J293"/>
      <c r="K293"/>
      <c r="L293"/>
      <c r="M293"/>
      <c r="N293"/>
      <c r="O293"/>
    </row>
    <row r="294" spans="9:15" x14ac:dyDescent="0.25">
      <c r="I294"/>
      <c r="J294"/>
      <c r="K294"/>
      <c r="L294"/>
      <c r="M294"/>
      <c r="N294"/>
      <c r="O294"/>
    </row>
    <row r="295" spans="9:15" x14ac:dyDescent="0.25">
      <c r="I295"/>
      <c r="J295"/>
      <c r="K295"/>
      <c r="L295"/>
      <c r="M295"/>
      <c r="N295"/>
      <c r="O295"/>
    </row>
    <row r="296" spans="9:15" x14ac:dyDescent="0.25">
      <c r="I296"/>
      <c r="J296"/>
      <c r="K296"/>
      <c r="L296"/>
      <c r="M296"/>
      <c r="N296"/>
      <c r="O296"/>
    </row>
    <row r="297" spans="9:15" x14ac:dyDescent="0.25">
      <c r="I297"/>
      <c r="J297"/>
      <c r="K297"/>
      <c r="L297"/>
      <c r="M297"/>
      <c r="N297"/>
      <c r="O297"/>
    </row>
    <row r="298" spans="9:15" x14ac:dyDescent="0.25">
      <c r="I298"/>
      <c r="J298"/>
      <c r="K298"/>
      <c r="L298"/>
      <c r="M298"/>
      <c r="N298"/>
      <c r="O298"/>
    </row>
    <row r="299" spans="9:15" x14ac:dyDescent="0.25">
      <c r="I299"/>
      <c r="J299"/>
      <c r="K299"/>
      <c r="L299"/>
      <c r="M299"/>
      <c r="N299"/>
      <c r="O299"/>
    </row>
    <row r="300" spans="9:15" x14ac:dyDescent="0.25">
      <c r="I300"/>
      <c r="J300"/>
      <c r="K300"/>
      <c r="L300"/>
      <c r="M300"/>
      <c r="N300"/>
      <c r="O300"/>
    </row>
    <row r="301" spans="9:15" x14ac:dyDescent="0.25">
      <c r="I301"/>
      <c r="J301"/>
      <c r="K301"/>
      <c r="L301"/>
      <c r="M301"/>
      <c r="N301"/>
      <c r="O301"/>
    </row>
    <row r="302" spans="9:15" x14ac:dyDescent="0.25">
      <c r="I302"/>
      <c r="J302"/>
      <c r="K302"/>
      <c r="L302"/>
      <c r="M302"/>
      <c r="N302"/>
      <c r="O302"/>
    </row>
    <row r="303" spans="9:15" x14ac:dyDescent="0.25">
      <c r="I303"/>
      <c r="J303"/>
      <c r="K303"/>
      <c r="L303"/>
      <c r="M303"/>
      <c r="N303"/>
      <c r="O303"/>
    </row>
    <row r="304" spans="9:15" x14ac:dyDescent="0.25">
      <c r="I304"/>
      <c r="J304"/>
      <c r="K304"/>
      <c r="L304"/>
      <c r="M304"/>
      <c r="N304"/>
      <c r="O304"/>
    </row>
    <row r="305" spans="9:15" x14ac:dyDescent="0.25">
      <c r="I305"/>
      <c r="J305"/>
      <c r="K305"/>
      <c r="L305"/>
      <c r="M305"/>
      <c r="N305"/>
      <c r="O305"/>
    </row>
    <row r="306" spans="9:15" x14ac:dyDescent="0.25">
      <c r="I306"/>
      <c r="J306"/>
      <c r="K306"/>
      <c r="L306"/>
      <c r="M306"/>
      <c r="N306"/>
      <c r="O306"/>
    </row>
    <row r="307" spans="9:15" x14ac:dyDescent="0.25">
      <c r="I307"/>
      <c r="J307"/>
      <c r="K307"/>
      <c r="L307"/>
      <c r="M307"/>
      <c r="N307"/>
      <c r="O307"/>
    </row>
    <row r="308" spans="9:15" x14ac:dyDescent="0.25">
      <c r="I308"/>
      <c r="J308"/>
      <c r="K308"/>
      <c r="L308"/>
      <c r="M308"/>
      <c r="N308"/>
      <c r="O308"/>
    </row>
    <row r="309" spans="9:15" x14ac:dyDescent="0.25">
      <c r="I309"/>
      <c r="J309"/>
      <c r="K309"/>
      <c r="L309"/>
      <c r="M309"/>
      <c r="N309"/>
      <c r="O309"/>
    </row>
    <row r="310" spans="9:15" x14ac:dyDescent="0.25">
      <c r="I310"/>
      <c r="J310"/>
      <c r="K310"/>
      <c r="L310"/>
      <c r="M310"/>
      <c r="N310"/>
      <c r="O310"/>
    </row>
    <row r="311" spans="9:15" x14ac:dyDescent="0.25">
      <c r="I311"/>
      <c r="J311"/>
      <c r="K311"/>
      <c r="L311"/>
      <c r="M311"/>
      <c r="N311"/>
      <c r="O311"/>
    </row>
    <row r="312" spans="9:15" x14ac:dyDescent="0.25">
      <c r="I312"/>
      <c r="J312"/>
      <c r="K312"/>
      <c r="L312"/>
      <c r="M312"/>
      <c r="N312"/>
      <c r="O312"/>
    </row>
    <row r="313" spans="9:15" x14ac:dyDescent="0.25">
      <c r="I313"/>
      <c r="J313"/>
      <c r="K313"/>
      <c r="L313"/>
      <c r="M313"/>
      <c r="N313"/>
      <c r="O313"/>
    </row>
    <row r="314" spans="9:15" x14ac:dyDescent="0.25">
      <c r="I314"/>
      <c r="J314"/>
      <c r="K314"/>
      <c r="L314"/>
      <c r="M314"/>
      <c r="N314"/>
      <c r="O314"/>
    </row>
    <row r="315" spans="9:15" x14ac:dyDescent="0.25">
      <c r="I315"/>
      <c r="J315"/>
      <c r="K315"/>
      <c r="L315"/>
      <c r="M315"/>
      <c r="N315"/>
      <c r="O315"/>
    </row>
    <row r="316" spans="9:15" x14ac:dyDescent="0.25">
      <c r="I316"/>
      <c r="J316"/>
      <c r="K316"/>
      <c r="L316"/>
      <c r="M316"/>
      <c r="N316"/>
      <c r="O316"/>
    </row>
    <row r="317" spans="9:15" x14ac:dyDescent="0.25">
      <c r="I317"/>
      <c r="J317"/>
      <c r="K317"/>
      <c r="L317"/>
      <c r="M317"/>
      <c r="N317"/>
      <c r="O317"/>
    </row>
    <row r="318" spans="9:15" x14ac:dyDescent="0.25">
      <c r="I318"/>
      <c r="J318"/>
      <c r="K318"/>
      <c r="L318"/>
      <c r="M318"/>
      <c r="N318"/>
      <c r="O318"/>
    </row>
    <row r="319" spans="9:15" x14ac:dyDescent="0.25">
      <c r="I319"/>
      <c r="J319"/>
      <c r="K319"/>
      <c r="L319"/>
      <c r="M319"/>
      <c r="N319"/>
      <c r="O319"/>
    </row>
    <row r="320" spans="9:15" x14ac:dyDescent="0.25">
      <c r="I320"/>
      <c r="J320"/>
      <c r="K320"/>
      <c r="L320"/>
      <c r="M320"/>
      <c r="N320"/>
      <c r="O320"/>
    </row>
    <row r="321" spans="9:15" x14ac:dyDescent="0.25">
      <c r="I321"/>
      <c r="J321"/>
      <c r="K321"/>
      <c r="L321"/>
      <c r="M321"/>
      <c r="N321"/>
      <c r="O321"/>
    </row>
    <row r="322" spans="9:15" x14ac:dyDescent="0.25">
      <c r="I322"/>
      <c r="J322"/>
      <c r="K322"/>
      <c r="L322"/>
      <c r="M322"/>
      <c r="N322"/>
      <c r="O322"/>
    </row>
    <row r="323" spans="9:15" x14ac:dyDescent="0.25">
      <c r="I323"/>
      <c r="J323"/>
      <c r="K323"/>
      <c r="L323"/>
      <c r="M323"/>
      <c r="N323"/>
      <c r="O323"/>
    </row>
    <row r="324" spans="9:15" x14ac:dyDescent="0.25">
      <c r="I324"/>
      <c r="J324"/>
      <c r="K324"/>
      <c r="L324"/>
      <c r="M324"/>
      <c r="N324"/>
      <c r="O324"/>
    </row>
    <row r="325" spans="9:15" x14ac:dyDescent="0.25">
      <c r="I325"/>
      <c r="J325"/>
      <c r="K325"/>
      <c r="L325"/>
      <c r="M325"/>
      <c r="N325"/>
      <c r="O325"/>
    </row>
    <row r="326" spans="9:15" x14ac:dyDescent="0.25">
      <c r="I326"/>
      <c r="J326"/>
      <c r="K326"/>
      <c r="L326"/>
      <c r="M326"/>
      <c r="N326"/>
      <c r="O326"/>
    </row>
    <row r="327" spans="9:15" x14ac:dyDescent="0.25">
      <c r="I327"/>
      <c r="J327"/>
      <c r="K327"/>
      <c r="L327"/>
      <c r="M327"/>
      <c r="N327"/>
      <c r="O327"/>
    </row>
    <row r="328" spans="9:15" x14ac:dyDescent="0.25">
      <c r="I328"/>
      <c r="J328"/>
      <c r="K328"/>
      <c r="L328"/>
      <c r="M328"/>
      <c r="N328"/>
      <c r="O328"/>
    </row>
    <row r="329" spans="9:15" x14ac:dyDescent="0.25">
      <c r="I329"/>
      <c r="J329"/>
      <c r="K329"/>
      <c r="L329"/>
      <c r="M329"/>
      <c r="N329"/>
      <c r="O329"/>
    </row>
    <row r="330" spans="9:15" x14ac:dyDescent="0.25">
      <c r="I330"/>
      <c r="J330"/>
      <c r="K330"/>
      <c r="L330"/>
      <c r="M330"/>
      <c r="N330"/>
      <c r="O330"/>
    </row>
    <row r="331" spans="9:15" x14ac:dyDescent="0.25">
      <c r="I331"/>
      <c r="J331"/>
      <c r="K331"/>
      <c r="L331"/>
      <c r="M331"/>
      <c r="N331"/>
      <c r="O331"/>
    </row>
    <row r="332" spans="9:15" x14ac:dyDescent="0.25">
      <c r="I332"/>
      <c r="J332"/>
      <c r="K332"/>
      <c r="L332"/>
      <c r="M332"/>
      <c r="N332"/>
      <c r="O332"/>
    </row>
    <row r="333" spans="9:15" x14ac:dyDescent="0.25">
      <c r="I333"/>
      <c r="J333"/>
      <c r="K333"/>
      <c r="L333"/>
      <c r="M333"/>
      <c r="N333"/>
      <c r="O333"/>
    </row>
    <row r="334" spans="9:15" x14ac:dyDescent="0.25">
      <c r="I334"/>
      <c r="J334"/>
      <c r="K334"/>
      <c r="L334"/>
      <c r="M334"/>
      <c r="N334"/>
      <c r="O334"/>
    </row>
    <row r="335" spans="9:15" x14ac:dyDescent="0.25">
      <c r="I335"/>
      <c r="J335"/>
      <c r="K335"/>
      <c r="L335"/>
      <c r="M335"/>
      <c r="N335"/>
      <c r="O335"/>
    </row>
    <row r="336" spans="9:15" x14ac:dyDescent="0.25">
      <c r="I336"/>
      <c r="J336"/>
      <c r="K336"/>
      <c r="L336"/>
      <c r="M336"/>
      <c r="N336"/>
      <c r="O336"/>
    </row>
    <row r="337" spans="9:15" x14ac:dyDescent="0.25">
      <c r="I337"/>
      <c r="J337"/>
      <c r="K337"/>
      <c r="L337"/>
      <c r="M337"/>
      <c r="N337"/>
      <c r="O337"/>
    </row>
    <row r="338" spans="9:15" x14ac:dyDescent="0.25">
      <c r="I338"/>
      <c r="J338"/>
      <c r="K338"/>
      <c r="L338"/>
      <c r="M338"/>
      <c r="N338"/>
      <c r="O338"/>
    </row>
    <row r="339" spans="9:15" x14ac:dyDescent="0.25">
      <c r="I339"/>
      <c r="J339"/>
      <c r="K339"/>
      <c r="L339"/>
      <c r="M339"/>
      <c r="N339"/>
      <c r="O339"/>
    </row>
    <row r="340" spans="9:15" x14ac:dyDescent="0.25">
      <c r="I340"/>
      <c r="J340"/>
      <c r="K340"/>
      <c r="L340"/>
      <c r="M340"/>
      <c r="N340"/>
      <c r="O340"/>
    </row>
    <row r="341" spans="9:15" x14ac:dyDescent="0.25">
      <c r="I341"/>
      <c r="J341"/>
      <c r="K341"/>
      <c r="L341"/>
      <c r="M341"/>
      <c r="N341"/>
      <c r="O341"/>
    </row>
    <row r="342" spans="9:15" x14ac:dyDescent="0.25">
      <c r="I342"/>
      <c r="J342"/>
      <c r="K342"/>
      <c r="L342"/>
      <c r="M342"/>
      <c r="N342"/>
      <c r="O342"/>
    </row>
    <row r="343" spans="9:15" x14ac:dyDescent="0.25">
      <c r="I343"/>
      <c r="J343"/>
      <c r="K343"/>
      <c r="L343"/>
      <c r="M343"/>
      <c r="N343"/>
      <c r="O343"/>
    </row>
    <row r="344" spans="9:15" x14ac:dyDescent="0.25">
      <c r="I344"/>
      <c r="J344"/>
      <c r="K344"/>
      <c r="L344"/>
      <c r="M344"/>
      <c r="N344"/>
      <c r="O344"/>
    </row>
    <row r="345" spans="9:15" x14ac:dyDescent="0.25">
      <c r="I345"/>
      <c r="J345"/>
      <c r="K345"/>
      <c r="L345"/>
      <c r="M345"/>
      <c r="N345"/>
      <c r="O345"/>
    </row>
    <row r="346" spans="9:15" x14ac:dyDescent="0.25">
      <c r="I346"/>
      <c r="J346"/>
      <c r="K346"/>
      <c r="L346"/>
      <c r="M346"/>
      <c r="N346"/>
      <c r="O346"/>
    </row>
    <row r="347" spans="9:15" x14ac:dyDescent="0.25">
      <c r="I347"/>
      <c r="J347"/>
      <c r="K347"/>
      <c r="L347"/>
      <c r="M347"/>
      <c r="N347"/>
      <c r="O347"/>
    </row>
    <row r="348" spans="9:15" x14ac:dyDescent="0.25">
      <c r="I348"/>
      <c r="J348"/>
      <c r="K348"/>
      <c r="L348"/>
      <c r="M348"/>
      <c r="N348"/>
      <c r="O348"/>
    </row>
    <row r="349" spans="9:15" x14ac:dyDescent="0.25">
      <c r="I349"/>
      <c r="J349"/>
      <c r="K349"/>
      <c r="L349"/>
      <c r="M349"/>
      <c r="N349"/>
      <c r="O349"/>
    </row>
    <row r="350" spans="9:15" x14ac:dyDescent="0.25">
      <c r="I350"/>
      <c r="J350"/>
      <c r="K350"/>
      <c r="L350"/>
      <c r="M350"/>
      <c r="N350"/>
      <c r="O350"/>
    </row>
    <row r="351" spans="9:15" x14ac:dyDescent="0.25">
      <c r="I351"/>
      <c r="J351"/>
      <c r="K351"/>
      <c r="L351"/>
      <c r="M351"/>
      <c r="N351"/>
      <c r="O351"/>
    </row>
    <row r="352" spans="9:15" x14ac:dyDescent="0.25">
      <c r="I352"/>
      <c r="J352"/>
      <c r="K352"/>
      <c r="L352"/>
      <c r="M352"/>
      <c r="N352"/>
      <c r="O352"/>
    </row>
    <row r="353" spans="9:15" x14ac:dyDescent="0.25">
      <c r="I353"/>
      <c r="J353"/>
      <c r="K353"/>
      <c r="L353"/>
      <c r="M353"/>
      <c r="N353"/>
      <c r="O353"/>
    </row>
    <row r="354" spans="9:15" x14ac:dyDescent="0.25">
      <c r="I354"/>
      <c r="J354"/>
      <c r="K354"/>
      <c r="L354"/>
      <c r="M354"/>
      <c r="N354"/>
      <c r="O354"/>
    </row>
    <row r="355" spans="9:15" x14ac:dyDescent="0.25">
      <c r="I355"/>
      <c r="J355"/>
      <c r="K355"/>
      <c r="L355"/>
      <c r="M355"/>
      <c r="N355"/>
      <c r="O355"/>
    </row>
    <row r="356" spans="9:15" x14ac:dyDescent="0.25">
      <c r="I356"/>
      <c r="J356"/>
      <c r="K356"/>
      <c r="L356"/>
      <c r="M356"/>
      <c r="N356"/>
      <c r="O356"/>
    </row>
    <row r="357" spans="9:15" x14ac:dyDescent="0.25">
      <c r="I357"/>
      <c r="J357"/>
      <c r="K357"/>
      <c r="L357"/>
      <c r="M357"/>
      <c r="N357"/>
      <c r="O357"/>
    </row>
    <row r="358" spans="9:15" x14ac:dyDescent="0.25">
      <c r="I358"/>
      <c r="J358"/>
      <c r="K358"/>
      <c r="L358"/>
      <c r="M358"/>
      <c r="N358"/>
      <c r="O358"/>
    </row>
    <row r="359" spans="9:15" x14ac:dyDescent="0.25">
      <c r="I359"/>
      <c r="J359"/>
      <c r="K359"/>
      <c r="L359"/>
      <c r="M359"/>
      <c r="N359"/>
      <c r="O359"/>
    </row>
    <row r="360" spans="9:15" x14ac:dyDescent="0.25">
      <c r="I360"/>
      <c r="J360"/>
      <c r="K360"/>
      <c r="L360"/>
      <c r="M360"/>
      <c r="N360"/>
      <c r="O360"/>
    </row>
    <row r="361" spans="9:15" x14ac:dyDescent="0.25">
      <c r="I361"/>
      <c r="J361"/>
      <c r="K361"/>
      <c r="L361"/>
      <c r="M361"/>
      <c r="N361"/>
      <c r="O361"/>
    </row>
    <row r="362" spans="9:15" x14ac:dyDescent="0.25">
      <c r="I362"/>
      <c r="J362"/>
      <c r="K362"/>
      <c r="L362"/>
      <c r="M362"/>
      <c r="N362"/>
      <c r="O362"/>
    </row>
    <row r="363" spans="9:15" x14ac:dyDescent="0.25">
      <c r="I363"/>
      <c r="J363"/>
      <c r="K363"/>
      <c r="L363"/>
      <c r="M363"/>
      <c r="N363"/>
      <c r="O363"/>
    </row>
    <row r="364" spans="9:15" x14ac:dyDescent="0.25">
      <c r="I364"/>
      <c r="J364"/>
      <c r="K364"/>
      <c r="L364"/>
      <c r="M364"/>
      <c r="N364"/>
      <c r="O364"/>
    </row>
    <row r="365" spans="9:15" x14ac:dyDescent="0.25">
      <c r="I365"/>
      <c r="J365"/>
      <c r="K365"/>
      <c r="L365"/>
      <c r="M365"/>
      <c r="N365"/>
      <c r="O365"/>
    </row>
    <row r="366" spans="9:15" x14ac:dyDescent="0.25">
      <c r="I366"/>
      <c r="J366"/>
      <c r="K366"/>
      <c r="L366"/>
      <c r="M366"/>
      <c r="N366"/>
      <c r="O366"/>
    </row>
    <row r="367" spans="9:15" x14ac:dyDescent="0.25">
      <c r="I367"/>
      <c r="J367"/>
      <c r="K367"/>
      <c r="L367"/>
      <c r="M367"/>
      <c r="N367"/>
      <c r="O367"/>
    </row>
    <row r="368" spans="9:15" x14ac:dyDescent="0.25">
      <c r="I368"/>
      <c r="J368"/>
      <c r="K368"/>
      <c r="L368"/>
      <c r="M368"/>
      <c r="N368"/>
      <c r="O368"/>
    </row>
    <row r="369" spans="9:15" x14ac:dyDescent="0.25">
      <c r="I369"/>
      <c r="J369"/>
      <c r="K369"/>
      <c r="L369"/>
      <c r="M369"/>
      <c r="N369"/>
      <c r="O369"/>
    </row>
    <row r="370" spans="9:15" x14ac:dyDescent="0.25">
      <c r="I370"/>
      <c r="J370"/>
      <c r="K370"/>
      <c r="L370"/>
      <c r="M370"/>
      <c r="N370"/>
      <c r="O370"/>
    </row>
    <row r="371" spans="9:15" x14ac:dyDescent="0.25">
      <c r="I371"/>
      <c r="J371"/>
      <c r="K371"/>
      <c r="L371"/>
      <c r="M371"/>
      <c r="N371"/>
      <c r="O371"/>
    </row>
    <row r="372" spans="9:15" x14ac:dyDescent="0.25">
      <c r="I372"/>
      <c r="J372"/>
      <c r="K372"/>
      <c r="L372"/>
      <c r="M372"/>
      <c r="N372"/>
      <c r="O372"/>
    </row>
    <row r="373" spans="9:15" x14ac:dyDescent="0.25">
      <c r="I373"/>
      <c r="J373"/>
      <c r="K373"/>
      <c r="L373"/>
      <c r="M373"/>
      <c r="N373"/>
      <c r="O373"/>
    </row>
    <row r="374" spans="9:15" x14ac:dyDescent="0.25">
      <c r="I374"/>
      <c r="J374"/>
      <c r="K374"/>
      <c r="L374"/>
      <c r="M374"/>
      <c r="N374"/>
      <c r="O374"/>
    </row>
    <row r="375" spans="9:15" x14ac:dyDescent="0.25">
      <c r="I375"/>
      <c r="J375"/>
      <c r="K375"/>
      <c r="L375"/>
      <c r="M375"/>
      <c r="N375"/>
      <c r="O375"/>
    </row>
    <row r="376" spans="9:15" x14ac:dyDescent="0.25">
      <c r="I376"/>
      <c r="J376"/>
      <c r="K376"/>
      <c r="L376"/>
      <c r="M376"/>
      <c r="N376"/>
      <c r="O376"/>
    </row>
    <row r="377" spans="9:15" x14ac:dyDescent="0.25">
      <c r="I377"/>
      <c r="J377"/>
      <c r="K377"/>
      <c r="L377"/>
      <c r="M377"/>
      <c r="N377"/>
      <c r="O377"/>
    </row>
    <row r="378" spans="9:15" x14ac:dyDescent="0.25">
      <c r="I378"/>
      <c r="J378"/>
      <c r="K378"/>
      <c r="L378"/>
      <c r="M378"/>
      <c r="N378"/>
      <c r="O378"/>
    </row>
    <row r="379" spans="9:15" x14ac:dyDescent="0.25">
      <c r="I379"/>
      <c r="J379"/>
      <c r="K379"/>
      <c r="L379"/>
      <c r="M379"/>
      <c r="N379"/>
      <c r="O379"/>
    </row>
    <row r="380" spans="9:15" x14ac:dyDescent="0.25">
      <c r="I380"/>
      <c r="J380"/>
      <c r="K380"/>
      <c r="L380"/>
      <c r="M380"/>
      <c r="N380"/>
      <c r="O380"/>
    </row>
    <row r="381" spans="9:15" x14ac:dyDescent="0.25">
      <c r="I381"/>
      <c r="J381"/>
      <c r="K381"/>
      <c r="L381"/>
      <c r="M381"/>
      <c r="N381"/>
      <c r="O381"/>
    </row>
    <row r="382" spans="9:15" x14ac:dyDescent="0.25">
      <c r="I382"/>
      <c r="J382"/>
      <c r="K382"/>
      <c r="L382"/>
      <c r="M382"/>
      <c r="N382"/>
      <c r="O382"/>
    </row>
    <row r="383" spans="9:15" x14ac:dyDescent="0.25">
      <c r="I383"/>
      <c r="J383"/>
      <c r="K383"/>
      <c r="L383"/>
      <c r="M383"/>
      <c r="N383"/>
      <c r="O383"/>
    </row>
    <row r="384" spans="9:15" x14ac:dyDescent="0.25">
      <c r="I384"/>
      <c r="J384"/>
      <c r="K384"/>
      <c r="L384"/>
      <c r="M384"/>
      <c r="N384"/>
      <c r="O384"/>
    </row>
    <row r="385" spans="9:15" x14ac:dyDescent="0.25">
      <c r="I385"/>
      <c r="J385"/>
      <c r="K385"/>
      <c r="L385"/>
      <c r="M385"/>
      <c r="N385"/>
      <c r="O385"/>
    </row>
    <row r="386" spans="9:15" x14ac:dyDescent="0.25">
      <c r="I386"/>
      <c r="J386"/>
      <c r="K386"/>
      <c r="L386"/>
      <c r="M386"/>
      <c r="N386"/>
      <c r="O386"/>
    </row>
    <row r="387" spans="9:15" x14ac:dyDescent="0.25">
      <c r="I387"/>
      <c r="J387"/>
      <c r="K387"/>
      <c r="L387"/>
      <c r="M387"/>
      <c r="N387"/>
      <c r="O387"/>
    </row>
    <row r="388" spans="9:15" x14ac:dyDescent="0.25">
      <c r="I388"/>
      <c r="J388"/>
      <c r="K388"/>
      <c r="L388"/>
      <c r="M388"/>
      <c r="N388"/>
      <c r="O388"/>
    </row>
    <row r="389" spans="9:15" x14ac:dyDescent="0.25">
      <c r="I389"/>
      <c r="J389"/>
      <c r="K389"/>
      <c r="L389"/>
      <c r="M389"/>
      <c r="N389"/>
      <c r="O389"/>
    </row>
    <row r="390" spans="9:15" x14ac:dyDescent="0.25">
      <c r="I390"/>
      <c r="J390"/>
      <c r="K390"/>
      <c r="L390"/>
      <c r="M390"/>
      <c r="N390"/>
      <c r="O390"/>
    </row>
    <row r="391" spans="9:15" x14ac:dyDescent="0.25">
      <c r="I391"/>
      <c r="J391"/>
      <c r="K391"/>
      <c r="L391"/>
      <c r="M391"/>
      <c r="N391"/>
      <c r="O391"/>
    </row>
    <row r="392" spans="9:15" x14ac:dyDescent="0.25">
      <c r="I392"/>
      <c r="J392"/>
      <c r="K392"/>
      <c r="L392"/>
      <c r="M392"/>
      <c r="N392"/>
      <c r="O392"/>
    </row>
    <row r="393" spans="9:15" x14ac:dyDescent="0.25">
      <c r="I393"/>
      <c r="J393"/>
      <c r="K393"/>
      <c r="L393"/>
      <c r="M393"/>
      <c r="N393"/>
      <c r="O393"/>
    </row>
    <row r="394" spans="9:15" x14ac:dyDescent="0.25">
      <c r="I394"/>
      <c r="J394"/>
      <c r="K394"/>
      <c r="L394"/>
      <c r="M394"/>
      <c r="N394"/>
      <c r="O394"/>
    </row>
    <row r="395" spans="9:15" x14ac:dyDescent="0.25">
      <c r="I395"/>
      <c r="J395"/>
      <c r="K395"/>
      <c r="L395"/>
      <c r="M395"/>
      <c r="N395"/>
      <c r="O395"/>
    </row>
    <row r="396" spans="9:15" x14ac:dyDescent="0.25">
      <c r="I396"/>
      <c r="J396"/>
      <c r="K396"/>
      <c r="L396"/>
      <c r="M396"/>
      <c r="N396"/>
      <c r="O396"/>
    </row>
    <row r="397" spans="9:15" x14ac:dyDescent="0.25">
      <c r="I397"/>
      <c r="J397"/>
      <c r="K397"/>
      <c r="L397"/>
      <c r="M397"/>
      <c r="N397"/>
      <c r="O397"/>
    </row>
    <row r="398" spans="9:15" x14ac:dyDescent="0.25">
      <c r="I398"/>
      <c r="J398"/>
      <c r="K398"/>
      <c r="L398"/>
      <c r="M398"/>
      <c r="N398"/>
      <c r="O398"/>
    </row>
    <row r="399" spans="9:15" x14ac:dyDescent="0.25">
      <c r="I399"/>
      <c r="J399"/>
      <c r="K399"/>
      <c r="L399"/>
      <c r="M399"/>
      <c r="N399"/>
      <c r="O399"/>
    </row>
    <row r="400" spans="9:15" x14ac:dyDescent="0.25">
      <c r="I400"/>
      <c r="J400"/>
      <c r="K400"/>
      <c r="L400"/>
      <c r="M400"/>
      <c r="N400"/>
      <c r="O400"/>
    </row>
    <row r="401" spans="9:15" x14ac:dyDescent="0.25">
      <c r="I401"/>
      <c r="J401"/>
      <c r="K401"/>
      <c r="L401"/>
      <c r="M401"/>
      <c r="N401"/>
      <c r="O401"/>
    </row>
    <row r="402" spans="9:15" x14ac:dyDescent="0.25">
      <c r="I402"/>
      <c r="J402"/>
      <c r="K402"/>
      <c r="L402"/>
      <c r="M402"/>
      <c r="N402"/>
      <c r="O402"/>
    </row>
    <row r="403" spans="9:15" x14ac:dyDescent="0.25">
      <c r="I403"/>
      <c r="J403"/>
      <c r="K403"/>
      <c r="L403"/>
      <c r="M403"/>
      <c r="N403"/>
      <c r="O403"/>
    </row>
    <row r="404" spans="9:15" x14ac:dyDescent="0.25">
      <c r="I404"/>
      <c r="J404"/>
      <c r="K404"/>
      <c r="L404"/>
      <c r="M404"/>
      <c r="N404"/>
      <c r="O404"/>
    </row>
    <row r="405" spans="9:15" x14ac:dyDescent="0.25">
      <c r="I405"/>
      <c r="J405"/>
      <c r="K405"/>
      <c r="L405"/>
      <c r="M405"/>
      <c r="N405"/>
      <c r="O405"/>
    </row>
    <row r="406" spans="9:15" x14ac:dyDescent="0.25">
      <c r="I406"/>
      <c r="J406"/>
      <c r="K406"/>
      <c r="L406"/>
      <c r="M406"/>
      <c r="N406"/>
      <c r="O406"/>
    </row>
    <row r="407" spans="9:15" x14ac:dyDescent="0.25">
      <c r="I407"/>
      <c r="J407"/>
      <c r="K407"/>
      <c r="L407"/>
      <c r="M407"/>
      <c r="N407"/>
      <c r="O407"/>
    </row>
    <row r="408" spans="9:15" x14ac:dyDescent="0.25">
      <c r="I408"/>
      <c r="J408"/>
      <c r="K408"/>
      <c r="L408"/>
      <c r="M408"/>
      <c r="N408"/>
      <c r="O408"/>
    </row>
    <row r="409" spans="9:15" x14ac:dyDescent="0.25">
      <c r="I409"/>
      <c r="J409"/>
      <c r="K409"/>
      <c r="L409"/>
      <c r="M409"/>
      <c r="N409"/>
      <c r="O409"/>
    </row>
    <row r="410" spans="9:15" x14ac:dyDescent="0.25">
      <c r="I410"/>
      <c r="J410"/>
      <c r="K410"/>
      <c r="L410"/>
      <c r="M410"/>
      <c r="N410"/>
      <c r="O410"/>
    </row>
    <row r="411" spans="9:15" x14ac:dyDescent="0.25">
      <c r="I411"/>
      <c r="J411"/>
      <c r="K411"/>
      <c r="L411"/>
      <c r="M411"/>
      <c r="N411"/>
      <c r="O411"/>
    </row>
    <row r="412" spans="9:15" x14ac:dyDescent="0.25">
      <c r="I412"/>
      <c r="J412"/>
      <c r="K412"/>
      <c r="L412"/>
      <c r="M412"/>
      <c r="N412"/>
      <c r="O412"/>
    </row>
    <row r="413" spans="9:15" x14ac:dyDescent="0.25">
      <c r="I413"/>
      <c r="J413"/>
      <c r="K413"/>
      <c r="L413"/>
      <c r="M413"/>
      <c r="N413"/>
      <c r="O413"/>
    </row>
    <row r="414" spans="9:15" x14ac:dyDescent="0.25">
      <c r="I414"/>
      <c r="J414"/>
      <c r="K414"/>
      <c r="L414"/>
      <c r="M414"/>
      <c r="N414"/>
      <c r="O414"/>
    </row>
    <row r="415" spans="9:15" x14ac:dyDescent="0.25">
      <c r="I415"/>
      <c r="J415"/>
      <c r="K415"/>
      <c r="L415"/>
      <c r="M415"/>
      <c r="N415"/>
      <c r="O415"/>
    </row>
    <row r="416" spans="9:15" x14ac:dyDescent="0.25">
      <c r="I416"/>
      <c r="J416"/>
      <c r="K416"/>
      <c r="L416"/>
      <c r="M416"/>
      <c r="N416"/>
      <c r="O416"/>
    </row>
    <row r="417" spans="9:15" x14ac:dyDescent="0.25">
      <c r="I417"/>
      <c r="J417"/>
      <c r="K417"/>
      <c r="L417"/>
      <c r="M417"/>
      <c r="N417"/>
      <c r="O417"/>
    </row>
    <row r="418" spans="9:15" x14ac:dyDescent="0.25">
      <c r="I418"/>
      <c r="J418"/>
      <c r="K418"/>
      <c r="L418"/>
      <c r="M418"/>
      <c r="N418"/>
      <c r="O418"/>
    </row>
    <row r="419" spans="9:15" x14ac:dyDescent="0.25">
      <c r="I419"/>
      <c r="J419"/>
      <c r="K419"/>
      <c r="L419"/>
      <c r="M419"/>
      <c r="N419"/>
      <c r="O419"/>
    </row>
    <row r="420" spans="9:15" x14ac:dyDescent="0.25">
      <c r="I420"/>
      <c r="J420"/>
      <c r="K420"/>
      <c r="L420"/>
      <c r="M420"/>
      <c r="N420"/>
      <c r="O420"/>
    </row>
    <row r="421" spans="9:15" x14ac:dyDescent="0.25">
      <c r="I421"/>
      <c r="J421"/>
      <c r="K421"/>
      <c r="L421"/>
      <c r="M421"/>
      <c r="N421"/>
      <c r="O421"/>
    </row>
    <row r="422" spans="9:15" x14ac:dyDescent="0.25">
      <c r="I422"/>
      <c r="J422"/>
      <c r="K422"/>
      <c r="L422"/>
      <c r="M422"/>
      <c r="N422"/>
      <c r="O422"/>
    </row>
    <row r="423" spans="9:15" x14ac:dyDescent="0.25">
      <c r="I423"/>
      <c r="J423"/>
      <c r="K423"/>
      <c r="L423"/>
      <c r="M423"/>
      <c r="N423"/>
      <c r="O423"/>
    </row>
    <row r="424" spans="9:15" x14ac:dyDescent="0.25">
      <c r="I424"/>
      <c r="J424"/>
      <c r="K424"/>
      <c r="L424"/>
      <c r="M424"/>
      <c r="N424"/>
      <c r="O424"/>
    </row>
    <row r="425" spans="9:15" x14ac:dyDescent="0.25">
      <c r="I425"/>
      <c r="J425"/>
      <c r="K425"/>
      <c r="L425"/>
      <c r="M425"/>
      <c r="N425"/>
      <c r="O425"/>
    </row>
    <row r="426" spans="9:15" x14ac:dyDescent="0.25">
      <c r="I426"/>
      <c r="J426"/>
      <c r="K426"/>
      <c r="L426"/>
      <c r="M426"/>
      <c r="N426"/>
      <c r="O426"/>
    </row>
    <row r="427" spans="9:15" x14ac:dyDescent="0.25">
      <c r="I427"/>
      <c r="J427"/>
      <c r="K427"/>
      <c r="L427"/>
      <c r="M427"/>
      <c r="N427"/>
      <c r="O427"/>
    </row>
    <row r="428" spans="9:15" x14ac:dyDescent="0.25">
      <c r="I428"/>
      <c r="J428"/>
      <c r="K428"/>
      <c r="L428"/>
      <c r="M428"/>
      <c r="N428"/>
      <c r="O428"/>
    </row>
    <row r="429" spans="9:15" x14ac:dyDescent="0.25">
      <c r="I429"/>
      <c r="J429"/>
      <c r="K429"/>
      <c r="L429"/>
      <c r="M429"/>
      <c r="N429"/>
      <c r="O429"/>
    </row>
    <row r="430" spans="9:15" x14ac:dyDescent="0.25">
      <c r="I430"/>
      <c r="J430"/>
      <c r="K430"/>
      <c r="L430"/>
      <c r="M430"/>
      <c r="N430"/>
      <c r="O430"/>
    </row>
    <row r="431" spans="9:15" x14ac:dyDescent="0.25">
      <c r="I431"/>
      <c r="J431"/>
      <c r="K431"/>
      <c r="L431"/>
      <c r="M431"/>
      <c r="N431"/>
      <c r="O431"/>
    </row>
    <row r="432" spans="9:15" x14ac:dyDescent="0.25">
      <c r="I432"/>
      <c r="J432"/>
      <c r="K432"/>
      <c r="L432"/>
      <c r="M432"/>
      <c r="N432"/>
      <c r="O432"/>
    </row>
    <row r="433" spans="9:15" x14ac:dyDescent="0.25">
      <c r="I433"/>
      <c r="J433"/>
      <c r="K433"/>
      <c r="L433"/>
      <c r="M433"/>
      <c r="N433"/>
      <c r="O433"/>
    </row>
    <row r="434" spans="9:15" x14ac:dyDescent="0.25">
      <c r="I434"/>
      <c r="J434"/>
      <c r="K434"/>
      <c r="L434"/>
      <c r="M434"/>
      <c r="N434"/>
      <c r="O434"/>
    </row>
    <row r="435" spans="9:15" x14ac:dyDescent="0.25">
      <c r="I435"/>
      <c r="J435"/>
      <c r="K435"/>
      <c r="L435"/>
      <c r="M435"/>
      <c r="N435"/>
      <c r="O435"/>
    </row>
    <row r="436" spans="9:15" x14ac:dyDescent="0.25">
      <c r="I436"/>
      <c r="J436"/>
      <c r="K436"/>
      <c r="L436"/>
      <c r="M436"/>
      <c r="N436"/>
      <c r="O436"/>
    </row>
    <row r="437" spans="9:15" x14ac:dyDescent="0.25">
      <c r="I437"/>
      <c r="J437"/>
      <c r="K437"/>
      <c r="L437"/>
      <c r="M437"/>
      <c r="N437"/>
      <c r="O437"/>
    </row>
    <row r="438" spans="9:15" x14ac:dyDescent="0.25">
      <c r="I438"/>
      <c r="J438"/>
      <c r="K438"/>
      <c r="L438"/>
      <c r="M438"/>
      <c r="N438"/>
      <c r="O438"/>
    </row>
    <row r="439" spans="9:15" x14ac:dyDescent="0.25">
      <c r="I439"/>
      <c r="J439"/>
      <c r="K439"/>
      <c r="L439"/>
      <c r="M439"/>
      <c r="N439"/>
      <c r="O439"/>
    </row>
    <row r="440" spans="9:15" x14ac:dyDescent="0.25">
      <c r="I440"/>
      <c r="J440"/>
      <c r="K440"/>
      <c r="L440"/>
      <c r="M440"/>
      <c r="N440"/>
      <c r="O440"/>
    </row>
    <row r="441" spans="9:15" x14ac:dyDescent="0.25">
      <c r="I441"/>
      <c r="J441"/>
      <c r="K441"/>
      <c r="L441"/>
      <c r="M441"/>
      <c r="N441"/>
      <c r="O441"/>
    </row>
    <row r="442" spans="9:15" x14ac:dyDescent="0.25">
      <c r="I442"/>
      <c r="J442"/>
      <c r="K442"/>
      <c r="L442"/>
      <c r="M442"/>
      <c r="N442"/>
      <c r="O442"/>
    </row>
    <row r="443" spans="9:15" x14ac:dyDescent="0.25">
      <c r="I443"/>
      <c r="J443"/>
      <c r="K443"/>
      <c r="L443"/>
      <c r="M443"/>
      <c r="N443"/>
      <c r="O443"/>
    </row>
    <row r="444" spans="9:15" x14ac:dyDescent="0.25">
      <c r="I444"/>
      <c r="J444"/>
      <c r="K444"/>
      <c r="L444"/>
      <c r="M444"/>
      <c r="N444"/>
      <c r="O444"/>
    </row>
    <row r="445" spans="9:15" x14ac:dyDescent="0.25">
      <c r="I445"/>
      <c r="J445"/>
      <c r="K445"/>
      <c r="L445"/>
      <c r="M445"/>
      <c r="N445"/>
      <c r="O445"/>
    </row>
    <row r="446" spans="9:15" x14ac:dyDescent="0.25">
      <c r="I446"/>
      <c r="J446"/>
      <c r="K446"/>
      <c r="L446"/>
      <c r="M446"/>
      <c r="N446"/>
      <c r="O446"/>
    </row>
    <row r="447" spans="9:15" x14ac:dyDescent="0.25">
      <c r="I447"/>
      <c r="J447"/>
      <c r="K447"/>
      <c r="L447"/>
      <c r="M447"/>
      <c r="N447"/>
      <c r="O447"/>
    </row>
    <row r="448" spans="9:15" x14ac:dyDescent="0.25">
      <c r="I448"/>
      <c r="J448"/>
      <c r="K448"/>
      <c r="L448"/>
      <c r="M448"/>
      <c r="N448"/>
      <c r="O448"/>
    </row>
    <row r="449" spans="9:15" x14ac:dyDescent="0.25">
      <c r="I449"/>
      <c r="J449"/>
      <c r="K449"/>
      <c r="L449"/>
      <c r="M449"/>
      <c r="N449"/>
      <c r="O449"/>
    </row>
    <row r="450" spans="9:15" x14ac:dyDescent="0.25">
      <c r="I450"/>
      <c r="J450"/>
      <c r="K450"/>
      <c r="L450"/>
      <c r="M450"/>
      <c r="N450"/>
      <c r="O450"/>
    </row>
    <row r="451" spans="9:15" x14ac:dyDescent="0.25">
      <c r="I451"/>
      <c r="J451"/>
      <c r="K451"/>
      <c r="L451"/>
      <c r="M451"/>
      <c r="N451"/>
      <c r="O451"/>
    </row>
    <row r="452" spans="9:15" x14ac:dyDescent="0.25">
      <c r="I452"/>
      <c r="J452"/>
      <c r="K452"/>
      <c r="L452"/>
      <c r="M452"/>
      <c r="N452"/>
      <c r="O452"/>
    </row>
    <row r="453" spans="9:15" x14ac:dyDescent="0.25">
      <c r="I453"/>
      <c r="J453"/>
      <c r="K453"/>
      <c r="L453"/>
      <c r="M453"/>
      <c r="N453"/>
      <c r="O453"/>
    </row>
    <row r="454" spans="9:15" x14ac:dyDescent="0.25">
      <c r="I454"/>
      <c r="J454"/>
      <c r="K454"/>
      <c r="L454"/>
      <c r="M454"/>
      <c r="N454"/>
      <c r="O454"/>
    </row>
    <row r="455" spans="9:15" x14ac:dyDescent="0.25">
      <c r="I455"/>
      <c r="J455"/>
      <c r="K455"/>
      <c r="L455"/>
      <c r="M455"/>
      <c r="N455"/>
      <c r="O455"/>
    </row>
    <row r="456" spans="9:15" x14ac:dyDescent="0.25">
      <c r="I456"/>
      <c r="J456"/>
      <c r="K456"/>
      <c r="L456"/>
      <c r="M456"/>
      <c r="N456"/>
      <c r="O456"/>
    </row>
    <row r="457" spans="9:15" x14ac:dyDescent="0.25">
      <c r="I457"/>
      <c r="J457"/>
      <c r="K457"/>
      <c r="L457"/>
      <c r="M457"/>
      <c r="N457"/>
      <c r="O457"/>
    </row>
    <row r="458" spans="9:15" x14ac:dyDescent="0.25">
      <c r="I458"/>
      <c r="J458"/>
      <c r="K458"/>
      <c r="L458"/>
      <c r="M458"/>
      <c r="N458"/>
      <c r="O458"/>
    </row>
    <row r="459" spans="9:15" x14ac:dyDescent="0.25">
      <c r="I459"/>
      <c r="J459"/>
      <c r="K459"/>
      <c r="L459"/>
      <c r="M459"/>
      <c r="N459"/>
      <c r="O459"/>
    </row>
    <row r="460" spans="9:15" x14ac:dyDescent="0.25">
      <c r="I460"/>
      <c r="J460"/>
      <c r="K460"/>
      <c r="L460"/>
      <c r="M460"/>
      <c r="N460"/>
      <c r="O460"/>
    </row>
    <row r="461" spans="9:15" x14ac:dyDescent="0.25">
      <c r="I461"/>
      <c r="J461"/>
      <c r="K461"/>
      <c r="L461"/>
      <c r="M461"/>
      <c r="N461"/>
      <c r="O461"/>
    </row>
    <row r="462" spans="9:15" x14ac:dyDescent="0.25">
      <c r="I462"/>
      <c r="J462"/>
      <c r="K462"/>
      <c r="L462"/>
      <c r="M462"/>
      <c r="N462"/>
      <c r="O462"/>
    </row>
    <row r="463" spans="9:15" x14ac:dyDescent="0.25">
      <c r="I463"/>
      <c r="J463"/>
      <c r="K463"/>
      <c r="L463"/>
      <c r="M463"/>
      <c r="N463"/>
      <c r="O463"/>
    </row>
    <row r="464" spans="9:15" x14ac:dyDescent="0.25">
      <c r="I464"/>
      <c r="J464"/>
      <c r="K464"/>
      <c r="L464"/>
      <c r="M464"/>
      <c r="N464"/>
      <c r="O464"/>
    </row>
    <row r="465" spans="9:15" x14ac:dyDescent="0.25">
      <c r="I465"/>
      <c r="J465"/>
      <c r="K465"/>
      <c r="L465"/>
      <c r="M465"/>
      <c r="N465"/>
      <c r="O465"/>
    </row>
    <row r="466" spans="9:15" x14ac:dyDescent="0.25">
      <c r="I466"/>
      <c r="J466"/>
      <c r="K466"/>
      <c r="L466"/>
      <c r="M466"/>
      <c r="N466"/>
      <c r="O466"/>
    </row>
    <row r="467" spans="9:15" x14ac:dyDescent="0.25">
      <c r="I467"/>
      <c r="J467"/>
      <c r="K467"/>
      <c r="L467"/>
      <c r="M467"/>
      <c r="N467"/>
      <c r="O467"/>
    </row>
    <row r="468" spans="9:15" x14ac:dyDescent="0.25">
      <c r="I468"/>
      <c r="J468"/>
      <c r="K468"/>
      <c r="L468"/>
      <c r="M468"/>
      <c r="N468"/>
      <c r="O468"/>
    </row>
    <row r="469" spans="9:15" x14ac:dyDescent="0.25">
      <c r="I469"/>
      <c r="J469"/>
      <c r="K469"/>
      <c r="L469"/>
      <c r="M469"/>
      <c r="N469"/>
      <c r="O469"/>
    </row>
    <row r="470" spans="9:15" x14ac:dyDescent="0.25">
      <c r="I470"/>
      <c r="J470"/>
      <c r="K470"/>
      <c r="L470"/>
      <c r="M470"/>
      <c r="N470"/>
      <c r="O470"/>
    </row>
    <row r="471" spans="9:15" x14ac:dyDescent="0.25">
      <c r="I471"/>
      <c r="J471"/>
      <c r="K471"/>
      <c r="L471"/>
      <c r="M471"/>
      <c r="N471"/>
      <c r="O471"/>
    </row>
    <row r="472" spans="9:15" x14ac:dyDescent="0.25">
      <c r="I472"/>
      <c r="J472"/>
      <c r="K472"/>
      <c r="L472"/>
      <c r="M472"/>
      <c r="N472"/>
      <c r="O472"/>
    </row>
    <row r="473" spans="9:15" x14ac:dyDescent="0.25">
      <c r="I473"/>
      <c r="J473"/>
      <c r="K473"/>
      <c r="L473"/>
      <c r="M473"/>
      <c r="N473"/>
      <c r="O473"/>
    </row>
    <row r="474" spans="9:15" x14ac:dyDescent="0.25">
      <c r="I474"/>
      <c r="J474"/>
      <c r="K474"/>
      <c r="L474"/>
      <c r="M474"/>
      <c r="N474"/>
      <c r="O474"/>
    </row>
    <row r="475" spans="9:15" x14ac:dyDescent="0.25">
      <c r="I475"/>
      <c r="J475"/>
      <c r="K475"/>
      <c r="L475"/>
      <c r="M475"/>
      <c r="N475"/>
      <c r="O475"/>
    </row>
    <row r="476" spans="9:15" x14ac:dyDescent="0.25">
      <c r="I476"/>
      <c r="J476"/>
      <c r="K476"/>
      <c r="L476"/>
      <c r="M476"/>
      <c r="N476"/>
      <c r="O476"/>
    </row>
    <row r="477" spans="9:15" x14ac:dyDescent="0.25">
      <c r="I477"/>
      <c r="J477"/>
      <c r="K477"/>
      <c r="L477"/>
      <c r="M477"/>
      <c r="N477"/>
      <c r="O477"/>
    </row>
    <row r="478" spans="9:15" x14ac:dyDescent="0.25">
      <c r="I478"/>
      <c r="J478"/>
      <c r="K478"/>
      <c r="L478"/>
      <c r="M478"/>
      <c r="N478"/>
      <c r="O478"/>
    </row>
    <row r="479" spans="9:15" x14ac:dyDescent="0.25">
      <c r="I479"/>
      <c r="J479"/>
      <c r="K479"/>
      <c r="L479"/>
      <c r="M479"/>
      <c r="N479"/>
      <c r="O479"/>
    </row>
    <row r="480" spans="9:15" x14ac:dyDescent="0.25">
      <c r="I480"/>
      <c r="J480"/>
      <c r="K480"/>
      <c r="L480"/>
      <c r="M480"/>
      <c r="N480"/>
      <c r="O480"/>
    </row>
    <row r="481" spans="9:15" x14ac:dyDescent="0.25">
      <c r="I481"/>
      <c r="J481"/>
      <c r="K481"/>
      <c r="L481"/>
      <c r="M481"/>
      <c r="N481"/>
      <c r="O481"/>
    </row>
    <row r="482" spans="9:15" x14ac:dyDescent="0.25">
      <c r="I482"/>
      <c r="J482"/>
      <c r="K482"/>
      <c r="L482"/>
      <c r="M482"/>
      <c r="N482"/>
      <c r="O482"/>
    </row>
    <row r="483" spans="9:15" x14ac:dyDescent="0.25">
      <c r="I483"/>
      <c r="J483"/>
      <c r="K483"/>
      <c r="L483"/>
      <c r="M483"/>
      <c r="N483"/>
      <c r="O483"/>
    </row>
    <row r="484" spans="9:15" x14ac:dyDescent="0.25">
      <c r="I484"/>
      <c r="J484"/>
      <c r="K484"/>
      <c r="L484"/>
      <c r="M484"/>
      <c r="N484"/>
      <c r="O484"/>
    </row>
    <row r="485" spans="9:15" x14ac:dyDescent="0.25">
      <c r="I485"/>
      <c r="J485"/>
      <c r="K485"/>
      <c r="L485"/>
      <c r="M485"/>
      <c r="N485"/>
      <c r="O485"/>
    </row>
    <row r="486" spans="9:15" x14ac:dyDescent="0.25">
      <c r="I486"/>
      <c r="J486"/>
      <c r="K486"/>
      <c r="L486"/>
      <c r="M486"/>
      <c r="N486"/>
      <c r="O486"/>
    </row>
    <row r="487" spans="9:15" x14ac:dyDescent="0.25">
      <c r="I487"/>
      <c r="J487"/>
      <c r="K487"/>
      <c r="L487"/>
      <c r="M487"/>
      <c r="N487"/>
      <c r="O487"/>
    </row>
    <row r="488" spans="9:15" x14ac:dyDescent="0.25">
      <c r="I488"/>
      <c r="J488"/>
      <c r="K488"/>
      <c r="L488"/>
      <c r="M488"/>
      <c r="N488"/>
      <c r="O488"/>
    </row>
    <row r="489" spans="9:15" x14ac:dyDescent="0.25">
      <c r="I489"/>
      <c r="J489"/>
      <c r="K489"/>
      <c r="L489"/>
      <c r="M489"/>
      <c r="N489"/>
      <c r="O489"/>
    </row>
    <row r="490" spans="9:15" x14ac:dyDescent="0.25">
      <c r="I490"/>
      <c r="J490"/>
      <c r="K490"/>
      <c r="L490"/>
      <c r="M490"/>
      <c r="N490"/>
      <c r="O490"/>
    </row>
    <row r="491" spans="9:15" x14ac:dyDescent="0.25">
      <c r="I491"/>
      <c r="J491"/>
      <c r="K491"/>
      <c r="L491"/>
      <c r="M491"/>
      <c r="N491"/>
      <c r="O491"/>
    </row>
    <row r="492" spans="9:15" x14ac:dyDescent="0.25">
      <c r="I492"/>
      <c r="J492"/>
      <c r="K492"/>
      <c r="L492"/>
      <c r="M492"/>
      <c r="N492"/>
      <c r="O492"/>
    </row>
    <row r="493" spans="9:15" x14ac:dyDescent="0.25">
      <c r="I493"/>
      <c r="J493"/>
      <c r="K493"/>
      <c r="L493"/>
      <c r="M493"/>
      <c r="N493"/>
      <c r="O493"/>
    </row>
    <row r="494" spans="9:15" x14ac:dyDescent="0.25">
      <c r="I494"/>
      <c r="J494"/>
      <c r="K494"/>
      <c r="L494"/>
      <c r="M494"/>
      <c r="N494"/>
      <c r="O494"/>
    </row>
    <row r="495" spans="9:15" x14ac:dyDescent="0.25">
      <c r="I495"/>
      <c r="J495"/>
      <c r="K495"/>
      <c r="L495"/>
      <c r="M495"/>
      <c r="N495"/>
      <c r="O495"/>
    </row>
    <row r="496" spans="9:15" x14ac:dyDescent="0.25">
      <c r="I496"/>
      <c r="J496"/>
      <c r="K496"/>
      <c r="L496"/>
      <c r="M496"/>
      <c r="N496"/>
      <c r="O496"/>
    </row>
    <row r="497" spans="9:15" x14ac:dyDescent="0.25">
      <c r="I497"/>
      <c r="J497"/>
      <c r="K497"/>
      <c r="L497"/>
      <c r="M497"/>
      <c r="N497"/>
      <c r="O497"/>
    </row>
    <row r="498" spans="9:15" x14ac:dyDescent="0.25">
      <c r="I498"/>
      <c r="J498"/>
      <c r="K498"/>
      <c r="L498"/>
      <c r="M498"/>
      <c r="N498"/>
      <c r="O498"/>
    </row>
    <row r="499" spans="9:15" x14ac:dyDescent="0.25">
      <c r="I499"/>
      <c r="J499"/>
      <c r="K499"/>
      <c r="L499"/>
      <c r="M499"/>
      <c r="N499"/>
      <c r="O499"/>
    </row>
    <row r="500" spans="9:15" x14ac:dyDescent="0.25">
      <c r="I500"/>
      <c r="J500"/>
      <c r="K500"/>
      <c r="L500"/>
      <c r="M500"/>
      <c r="N500"/>
      <c r="O500"/>
    </row>
    <row r="501" spans="9:15" x14ac:dyDescent="0.25">
      <c r="I501"/>
      <c r="J501"/>
      <c r="K501"/>
      <c r="L501"/>
      <c r="M501"/>
      <c r="N501"/>
      <c r="O501"/>
    </row>
    <row r="502" spans="9:15" x14ac:dyDescent="0.25">
      <c r="I502"/>
      <c r="J502"/>
      <c r="K502"/>
      <c r="L502"/>
      <c r="M502"/>
      <c r="N502"/>
      <c r="O502"/>
    </row>
    <row r="503" spans="9:15" x14ac:dyDescent="0.25">
      <c r="I503"/>
      <c r="J503"/>
      <c r="K503"/>
      <c r="L503"/>
      <c r="M503"/>
      <c r="N503"/>
      <c r="O503"/>
    </row>
    <row r="504" spans="9:15" x14ac:dyDescent="0.25">
      <c r="I504"/>
      <c r="J504"/>
      <c r="K504"/>
      <c r="L504"/>
      <c r="M504"/>
      <c r="N504"/>
      <c r="O504"/>
    </row>
    <row r="505" spans="9:15" x14ac:dyDescent="0.25">
      <c r="I505"/>
      <c r="J505"/>
      <c r="K505"/>
      <c r="L505"/>
      <c r="M505"/>
      <c r="N505"/>
      <c r="O505"/>
    </row>
    <row r="506" spans="9:15" x14ac:dyDescent="0.25">
      <c r="I506"/>
      <c r="J506"/>
      <c r="K506"/>
      <c r="L506"/>
      <c r="M506"/>
      <c r="N506"/>
      <c r="O506"/>
    </row>
    <row r="507" spans="9:15" x14ac:dyDescent="0.25">
      <c r="I507"/>
      <c r="J507"/>
      <c r="K507"/>
      <c r="L507"/>
      <c r="M507"/>
      <c r="N507"/>
      <c r="O507"/>
    </row>
    <row r="508" spans="9:15" x14ac:dyDescent="0.25">
      <c r="I508"/>
      <c r="J508"/>
      <c r="K508"/>
      <c r="L508"/>
      <c r="M508"/>
      <c r="N508"/>
      <c r="O508"/>
    </row>
    <row r="509" spans="9:15" x14ac:dyDescent="0.25">
      <c r="I509"/>
      <c r="J509"/>
      <c r="K509"/>
      <c r="L509"/>
      <c r="M509"/>
      <c r="N509"/>
      <c r="O509"/>
    </row>
    <row r="510" spans="9:15" x14ac:dyDescent="0.25">
      <c r="I510"/>
      <c r="J510"/>
      <c r="K510"/>
      <c r="L510"/>
      <c r="M510"/>
      <c r="N510"/>
      <c r="O510"/>
    </row>
    <row r="511" spans="9:15" x14ac:dyDescent="0.25">
      <c r="I511"/>
      <c r="J511"/>
      <c r="K511"/>
      <c r="L511"/>
      <c r="M511"/>
      <c r="N511"/>
      <c r="O511"/>
    </row>
    <row r="512" spans="9:15" x14ac:dyDescent="0.25">
      <c r="I512"/>
      <c r="J512"/>
      <c r="K512"/>
      <c r="L512"/>
      <c r="M512"/>
      <c r="N512"/>
      <c r="O512"/>
    </row>
    <row r="513" spans="9:15" x14ac:dyDescent="0.25">
      <c r="I513"/>
      <c r="J513"/>
      <c r="K513"/>
      <c r="L513"/>
      <c r="M513"/>
      <c r="N513"/>
      <c r="O513"/>
    </row>
    <row r="514" spans="9:15" x14ac:dyDescent="0.25">
      <c r="I514"/>
      <c r="J514"/>
      <c r="K514"/>
      <c r="L514"/>
      <c r="M514"/>
      <c r="N514"/>
      <c r="O514"/>
    </row>
    <row r="515" spans="9:15" x14ac:dyDescent="0.25">
      <c r="I515"/>
      <c r="J515"/>
      <c r="K515"/>
      <c r="L515"/>
      <c r="M515"/>
      <c r="N515"/>
      <c r="O515"/>
    </row>
    <row r="516" spans="9:15" x14ac:dyDescent="0.25">
      <c r="I516"/>
      <c r="J516"/>
      <c r="K516"/>
      <c r="L516"/>
      <c r="M516"/>
      <c r="N516"/>
      <c r="O516"/>
    </row>
    <row r="517" spans="9:15" x14ac:dyDescent="0.25">
      <c r="I517"/>
      <c r="J517"/>
      <c r="K517"/>
      <c r="L517"/>
      <c r="M517"/>
      <c r="N517"/>
      <c r="O517"/>
    </row>
    <row r="518" spans="9:15" x14ac:dyDescent="0.25">
      <c r="I518"/>
      <c r="J518"/>
      <c r="K518"/>
      <c r="L518"/>
      <c r="M518"/>
      <c r="N518"/>
      <c r="O518"/>
    </row>
    <row r="519" spans="9:15" x14ac:dyDescent="0.25">
      <c r="I519"/>
      <c r="J519"/>
      <c r="K519"/>
      <c r="L519"/>
      <c r="M519"/>
      <c r="N519"/>
      <c r="O519"/>
    </row>
    <row r="520" spans="9:15" x14ac:dyDescent="0.25">
      <c r="I520"/>
      <c r="J520"/>
      <c r="K520"/>
      <c r="L520"/>
      <c r="M520"/>
      <c r="N520"/>
      <c r="O520"/>
    </row>
    <row r="521" spans="9:15" x14ac:dyDescent="0.25">
      <c r="I521"/>
      <c r="J521"/>
      <c r="K521"/>
      <c r="L521"/>
      <c r="M521"/>
      <c r="N521"/>
      <c r="O521"/>
    </row>
    <row r="522" spans="9:15" x14ac:dyDescent="0.25">
      <c r="I522"/>
      <c r="J522"/>
      <c r="K522"/>
      <c r="L522"/>
      <c r="M522"/>
      <c r="N522"/>
      <c r="O522"/>
    </row>
    <row r="523" spans="9:15" x14ac:dyDescent="0.25">
      <c r="I523"/>
      <c r="J523"/>
      <c r="K523"/>
      <c r="L523"/>
      <c r="M523"/>
      <c r="N523"/>
      <c r="O523"/>
    </row>
    <row r="524" spans="9:15" x14ac:dyDescent="0.25">
      <c r="I524"/>
      <c r="J524"/>
      <c r="K524"/>
      <c r="L524"/>
      <c r="M524"/>
      <c r="N524"/>
      <c r="O524"/>
    </row>
    <row r="525" spans="9:15" x14ac:dyDescent="0.25">
      <c r="I525"/>
      <c r="J525"/>
      <c r="K525"/>
      <c r="L525"/>
      <c r="M525"/>
      <c r="N525"/>
      <c r="O525"/>
    </row>
    <row r="526" spans="9:15" x14ac:dyDescent="0.25">
      <c r="I526"/>
      <c r="J526"/>
      <c r="K526"/>
      <c r="L526"/>
      <c r="M526"/>
      <c r="N526"/>
      <c r="O526"/>
    </row>
    <row r="527" spans="9:15" x14ac:dyDescent="0.25">
      <c r="I527"/>
      <c r="J527"/>
      <c r="K527"/>
      <c r="L527"/>
      <c r="M527"/>
      <c r="N527"/>
      <c r="O527"/>
    </row>
    <row r="528" spans="9:15" x14ac:dyDescent="0.25">
      <c r="I528"/>
      <c r="J528"/>
      <c r="K528"/>
      <c r="L528"/>
      <c r="M528"/>
      <c r="N528"/>
      <c r="O528"/>
    </row>
    <row r="529" spans="9:15" x14ac:dyDescent="0.25">
      <c r="I529"/>
      <c r="J529"/>
      <c r="K529"/>
      <c r="L529"/>
      <c r="M529"/>
      <c r="N529"/>
      <c r="O529"/>
    </row>
    <row r="530" spans="9:15" x14ac:dyDescent="0.25">
      <c r="I530"/>
      <c r="J530"/>
      <c r="K530"/>
      <c r="L530"/>
      <c r="M530"/>
      <c r="N530"/>
      <c r="O530"/>
    </row>
    <row r="531" spans="9:15" x14ac:dyDescent="0.25">
      <c r="I531"/>
      <c r="J531"/>
      <c r="K531"/>
      <c r="L531"/>
      <c r="M531"/>
      <c r="N531"/>
      <c r="O531"/>
    </row>
    <row r="532" spans="9:15" x14ac:dyDescent="0.25">
      <c r="I532"/>
      <c r="J532"/>
      <c r="K532"/>
      <c r="L532"/>
      <c r="M532"/>
      <c r="N532"/>
      <c r="O532"/>
    </row>
    <row r="533" spans="9:15" x14ac:dyDescent="0.25">
      <c r="I533"/>
      <c r="J533"/>
      <c r="K533"/>
      <c r="L533"/>
      <c r="M533"/>
      <c r="N533"/>
      <c r="O533"/>
    </row>
    <row r="534" spans="9:15" x14ac:dyDescent="0.25">
      <c r="I534"/>
      <c r="J534"/>
      <c r="K534"/>
      <c r="L534"/>
      <c r="M534"/>
      <c r="N534"/>
      <c r="O534"/>
    </row>
    <row r="535" spans="9:15" x14ac:dyDescent="0.25">
      <c r="I535"/>
      <c r="J535"/>
      <c r="K535"/>
      <c r="L535"/>
      <c r="M535"/>
      <c r="N535"/>
      <c r="O535"/>
    </row>
    <row r="536" spans="9:15" x14ac:dyDescent="0.25">
      <c r="I536"/>
      <c r="J536"/>
      <c r="K536"/>
      <c r="L536"/>
      <c r="M536"/>
      <c r="N536"/>
      <c r="O536"/>
    </row>
    <row r="537" spans="9:15" x14ac:dyDescent="0.25">
      <c r="I537"/>
      <c r="J537"/>
      <c r="K537"/>
      <c r="L537"/>
      <c r="M537"/>
      <c r="N537"/>
      <c r="O537"/>
    </row>
    <row r="538" spans="9:15" x14ac:dyDescent="0.25">
      <c r="I538"/>
      <c r="J538"/>
      <c r="K538"/>
      <c r="L538"/>
      <c r="M538"/>
      <c r="N538"/>
      <c r="O538"/>
    </row>
    <row r="539" spans="9:15" x14ac:dyDescent="0.25">
      <c r="I539"/>
      <c r="J539"/>
      <c r="K539"/>
      <c r="L539"/>
      <c r="M539"/>
      <c r="N539"/>
      <c r="O539"/>
    </row>
    <row r="540" spans="9:15" x14ac:dyDescent="0.25">
      <c r="I540"/>
      <c r="J540"/>
      <c r="K540"/>
      <c r="L540"/>
      <c r="M540"/>
      <c r="N540"/>
      <c r="O540"/>
    </row>
    <row r="541" spans="9:15" x14ac:dyDescent="0.25">
      <c r="I541"/>
      <c r="J541"/>
      <c r="K541"/>
      <c r="L541"/>
      <c r="M541"/>
      <c r="N541"/>
      <c r="O541"/>
    </row>
    <row r="542" spans="9:15" x14ac:dyDescent="0.25">
      <c r="I542"/>
      <c r="J542"/>
      <c r="K542"/>
      <c r="L542"/>
      <c r="M542"/>
      <c r="N542"/>
      <c r="O542"/>
    </row>
    <row r="543" spans="9:15" x14ac:dyDescent="0.25">
      <c r="I543"/>
      <c r="J543"/>
      <c r="K543"/>
      <c r="L543"/>
      <c r="M543"/>
      <c r="N543"/>
      <c r="O543"/>
    </row>
    <row r="544" spans="9:15" x14ac:dyDescent="0.25">
      <c r="I544"/>
      <c r="J544"/>
      <c r="K544"/>
      <c r="L544"/>
      <c r="M544"/>
      <c r="N544"/>
      <c r="O544"/>
    </row>
    <row r="545" spans="9:15" x14ac:dyDescent="0.25">
      <c r="I545"/>
      <c r="J545"/>
      <c r="K545"/>
      <c r="L545"/>
      <c r="M545"/>
      <c r="N545"/>
      <c r="O545"/>
    </row>
    <row r="546" spans="9:15" x14ac:dyDescent="0.25">
      <c r="I546"/>
      <c r="J546"/>
      <c r="K546"/>
      <c r="L546"/>
      <c r="M546"/>
      <c r="N546"/>
      <c r="O546"/>
    </row>
    <row r="547" spans="9:15" x14ac:dyDescent="0.25">
      <c r="I547"/>
      <c r="J547"/>
      <c r="K547"/>
      <c r="L547"/>
      <c r="M547"/>
      <c r="N547"/>
      <c r="O547"/>
    </row>
    <row r="548" spans="9:15" x14ac:dyDescent="0.25">
      <c r="I548"/>
      <c r="J548"/>
      <c r="K548"/>
      <c r="L548"/>
      <c r="M548"/>
      <c r="N548"/>
      <c r="O548"/>
    </row>
    <row r="549" spans="9:15" x14ac:dyDescent="0.25">
      <c r="I549"/>
      <c r="J549"/>
      <c r="K549"/>
      <c r="L549"/>
      <c r="M549"/>
      <c r="N549"/>
      <c r="O549"/>
    </row>
    <row r="550" spans="9:15" x14ac:dyDescent="0.25">
      <c r="I550"/>
      <c r="J550"/>
      <c r="K550"/>
      <c r="L550"/>
      <c r="M550"/>
      <c r="N550"/>
      <c r="O550"/>
    </row>
    <row r="551" spans="9:15" x14ac:dyDescent="0.25">
      <c r="I551"/>
      <c r="J551"/>
      <c r="K551"/>
      <c r="L551"/>
      <c r="M551"/>
      <c r="N551"/>
      <c r="O551"/>
    </row>
    <row r="552" spans="9:15" x14ac:dyDescent="0.25">
      <c r="I552"/>
      <c r="J552"/>
      <c r="K552"/>
      <c r="L552"/>
      <c r="M552"/>
      <c r="N552"/>
      <c r="O552"/>
    </row>
    <row r="553" spans="9:15" x14ac:dyDescent="0.25">
      <c r="I553"/>
      <c r="J553"/>
      <c r="K553"/>
      <c r="L553"/>
      <c r="M553"/>
      <c r="N553"/>
      <c r="O553"/>
    </row>
    <row r="554" spans="9:15" x14ac:dyDescent="0.25">
      <c r="I554"/>
      <c r="J554"/>
      <c r="K554"/>
      <c r="L554"/>
      <c r="M554"/>
      <c r="N554"/>
      <c r="O554"/>
    </row>
    <row r="555" spans="9:15" x14ac:dyDescent="0.25">
      <c r="I555"/>
      <c r="J555"/>
      <c r="K555"/>
      <c r="L555"/>
      <c r="M555"/>
      <c r="N555"/>
      <c r="O555"/>
    </row>
    <row r="556" spans="9:15" x14ac:dyDescent="0.25">
      <c r="I556"/>
      <c r="J556"/>
      <c r="K556"/>
      <c r="L556"/>
      <c r="M556"/>
      <c r="N556"/>
      <c r="O556"/>
    </row>
    <row r="557" spans="9:15" x14ac:dyDescent="0.25">
      <c r="I557"/>
      <c r="J557"/>
      <c r="K557"/>
      <c r="L557"/>
      <c r="M557"/>
      <c r="N557"/>
      <c r="O557"/>
    </row>
    <row r="558" spans="9:15" x14ac:dyDescent="0.25">
      <c r="I558"/>
      <c r="J558"/>
      <c r="K558"/>
      <c r="L558"/>
      <c r="M558"/>
      <c r="N558"/>
      <c r="O558"/>
    </row>
    <row r="559" spans="9:15" x14ac:dyDescent="0.25">
      <c r="I559"/>
      <c r="J559"/>
      <c r="K559"/>
      <c r="L559"/>
      <c r="M559"/>
      <c r="N559"/>
      <c r="O559"/>
    </row>
    <row r="560" spans="9:15" x14ac:dyDescent="0.25">
      <c r="I560"/>
      <c r="J560"/>
      <c r="K560"/>
      <c r="L560"/>
      <c r="M560"/>
      <c r="N560"/>
      <c r="O560"/>
    </row>
    <row r="561" spans="9:15" x14ac:dyDescent="0.25">
      <c r="I561"/>
      <c r="J561"/>
      <c r="K561"/>
      <c r="L561"/>
      <c r="M561"/>
      <c r="N561"/>
      <c r="O561"/>
    </row>
    <row r="562" spans="9:15" x14ac:dyDescent="0.25">
      <c r="I562"/>
      <c r="J562"/>
      <c r="K562"/>
      <c r="L562"/>
      <c r="M562"/>
      <c r="N562"/>
      <c r="O562"/>
    </row>
    <row r="563" spans="9:15" x14ac:dyDescent="0.25">
      <c r="I563"/>
      <c r="J563"/>
      <c r="K563"/>
      <c r="L563"/>
      <c r="M563"/>
      <c r="N563"/>
      <c r="O563"/>
    </row>
    <row r="564" spans="9:15" x14ac:dyDescent="0.25">
      <c r="I564"/>
      <c r="J564"/>
      <c r="K564"/>
      <c r="L564"/>
      <c r="M564"/>
      <c r="N564"/>
      <c r="O564"/>
    </row>
    <row r="565" spans="9:15" x14ac:dyDescent="0.25">
      <c r="I565"/>
      <c r="J565"/>
      <c r="K565"/>
      <c r="L565"/>
      <c r="M565"/>
      <c r="N565"/>
      <c r="O565"/>
    </row>
    <row r="566" spans="9:15" x14ac:dyDescent="0.25">
      <c r="I566"/>
      <c r="J566"/>
      <c r="K566"/>
      <c r="L566"/>
      <c r="M566"/>
      <c r="N566"/>
      <c r="O566"/>
    </row>
    <row r="567" spans="9:15" x14ac:dyDescent="0.25">
      <c r="I567"/>
      <c r="J567"/>
      <c r="K567"/>
      <c r="L567"/>
      <c r="M567"/>
      <c r="N567"/>
      <c r="O567"/>
    </row>
    <row r="568" spans="9:15" x14ac:dyDescent="0.25">
      <c r="I568"/>
      <c r="J568"/>
      <c r="K568"/>
      <c r="L568"/>
      <c r="M568"/>
      <c r="N568"/>
      <c r="O568"/>
    </row>
    <row r="569" spans="9:15" x14ac:dyDescent="0.25">
      <c r="I569"/>
      <c r="J569"/>
      <c r="K569"/>
      <c r="L569"/>
      <c r="M569"/>
      <c r="N569"/>
      <c r="O569"/>
    </row>
    <row r="570" spans="9:15" x14ac:dyDescent="0.25">
      <c r="I570"/>
      <c r="J570"/>
      <c r="K570"/>
      <c r="L570"/>
      <c r="M570"/>
      <c r="N570"/>
      <c r="O570"/>
    </row>
    <row r="571" spans="9:15" x14ac:dyDescent="0.25">
      <c r="I571"/>
      <c r="J571"/>
      <c r="K571"/>
      <c r="L571"/>
      <c r="M571"/>
      <c r="N571"/>
      <c r="O571"/>
    </row>
    <row r="572" spans="9:15" x14ac:dyDescent="0.25">
      <c r="I572"/>
      <c r="J572"/>
      <c r="K572"/>
      <c r="L572"/>
      <c r="M572"/>
      <c r="N572"/>
      <c r="O572"/>
    </row>
    <row r="573" spans="9:15" x14ac:dyDescent="0.25">
      <c r="I573"/>
      <c r="J573"/>
      <c r="K573"/>
      <c r="L573"/>
      <c r="M573"/>
      <c r="N573"/>
      <c r="O573"/>
    </row>
    <row r="574" spans="9:15" x14ac:dyDescent="0.25">
      <c r="I574"/>
      <c r="J574"/>
      <c r="K574"/>
      <c r="L574"/>
      <c r="M574"/>
      <c r="N574"/>
      <c r="O574"/>
    </row>
    <row r="575" spans="9:15" x14ac:dyDescent="0.25">
      <c r="I575"/>
      <c r="J575"/>
      <c r="K575"/>
      <c r="L575"/>
      <c r="M575"/>
      <c r="N575"/>
      <c r="O575"/>
    </row>
    <row r="576" spans="9:15" x14ac:dyDescent="0.25">
      <c r="I576"/>
      <c r="J576"/>
      <c r="K576"/>
      <c r="L576"/>
      <c r="M576"/>
      <c r="N576"/>
      <c r="O576"/>
    </row>
    <row r="577" spans="9:15" x14ac:dyDescent="0.25">
      <c r="I577"/>
      <c r="J577"/>
      <c r="K577"/>
      <c r="L577"/>
      <c r="M577"/>
      <c r="N577"/>
      <c r="O577"/>
    </row>
    <row r="578" spans="9:15" x14ac:dyDescent="0.25">
      <c r="I578"/>
      <c r="J578"/>
      <c r="K578"/>
      <c r="L578"/>
      <c r="M578"/>
      <c r="N578"/>
      <c r="O578"/>
    </row>
    <row r="579" spans="9:15" x14ac:dyDescent="0.25">
      <c r="I579"/>
      <c r="J579"/>
      <c r="K579"/>
      <c r="L579"/>
      <c r="M579"/>
      <c r="N579"/>
      <c r="O579"/>
    </row>
    <row r="580" spans="9:15" x14ac:dyDescent="0.25">
      <c r="I580"/>
      <c r="J580"/>
      <c r="K580"/>
      <c r="L580"/>
      <c r="M580"/>
      <c r="N580"/>
      <c r="O580"/>
    </row>
    <row r="581" spans="9:15" x14ac:dyDescent="0.25">
      <c r="I581"/>
      <c r="J581"/>
      <c r="K581"/>
      <c r="L581"/>
      <c r="M581"/>
      <c r="N581"/>
      <c r="O581"/>
    </row>
    <row r="582" spans="9:15" x14ac:dyDescent="0.25">
      <c r="I582"/>
      <c r="J582"/>
      <c r="K582"/>
      <c r="L582"/>
      <c r="M582"/>
      <c r="N582"/>
      <c r="O582"/>
    </row>
    <row r="583" spans="9:15" x14ac:dyDescent="0.25">
      <c r="I583"/>
      <c r="J583"/>
      <c r="K583"/>
      <c r="L583"/>
      <c r="M583"/>
      <c r="N583"/>
      <c r="O583"/>
    </row>
    <row r="584" spans="9:15" x14ac:dyDescent="0.25">
      <c r="I584"/>
      <c r="J584"/>
      <c r="K584"/>
      <c r="L584"/>
      <c r="M584"/>
      <c r="N584"/>
      <c r="O584"/>
    </row>
    <row r="585" spans="9:15" x14ac:dyDescent="0.25">
      <c r="I585"/>
      <c r="J585"/>
      <c r="K585"/>
      <c r="L585"/>
      <c r="M585"/>
      <c r="N585"/>
      <c r="O585"/>
    </row>
    <row r="586" spans="9:15" x14ac:dyDescent="0.25">
      <c r="I586"/>
      <c r="J586"/>
      <c r="K586"/>
      <c r="L586"/>
      <c r="M586"/>
      <c r="N586"/>
      <c r="O586"/>
    </row>
    <row r="587" spans="9:15" x14ac:dyDescent="0.25">
      <c r="I587"/>
      <c r="J587"/>
      <c r="K587"/>
      <c r="L587"/>
      <c r="M587"/>
      <c r="N587"/>
      <c r="O587"/>
    </row>
    <row r="588" spans="9:15" x14ac:dyDescent="0.25">
      <c r="I588"/>
      <c r="J588"/>
      <c r="K588"/>
      <c r="L588"/>
      <c r="M588"/>
      <c r="N588"/>
      <c r="O588"/>
    </row>
    <row r="589" spans="9:15" x14ac:dyDescent="0.25">
      <c r="I589"/>
      <c r="J589"/>
      <c r="K589"/>
      <c r="L589"/>
      <c r="M589"/>
      <c r="N589"/>
      <c r="O589"/>
    </row>
    <row r="590" spans="9:15" x14ac:dyDescent="0.25">
      <c r="I590"/>
      <c r="J590"/>
      <c r="K590"/>
      <c r="L590"/>
      <c r="M590"/>
      <c r="N590"/>
      <c r="O590"/>
    </row>
    <row r="591" spans="9:15" x14ac:dyDescent="0.25">
      <c r="I591"/>
      <c r="J591"/>
      <c r="K591"/>
      <c r="L591"/>
      <c r="M591"/>
      <c r="N591"/>
      <c r="O591"/>
    </row>
    <row r="592" spans="9:15" x14ac:dyDescent="0.25">
      <c r="I592"/>
      <c r="J592"/>
      <c r="K592"/>
      <c r="L592"/>
      <c r="M592"/>
      <c r="N592"/>
      <c r="O592"/>
    </row>
    <row r="593" spans="9:15" x14ac:dyDescent="0.25">
      <c r="I593"/>
      <c r="J593"/>
      <c r="K593"/>
      <c r="L593"/>
      <c r="M593"/>
      <c r="N593"/>
      <c r="O593"/>
    </row>
    <row r="594" spans="9:15" x14ac:dyDescent="0.25">
      <c r="I594"/>
      <c r="J594"/>
      <c r="K594"/>
      <c r="L594"/>
      <c r="M594"/>
      <c r="N594"/>
      <c r="O594"/>
    </row>
    <row r="595" spans="9:15" x14ac:dyDescent="0.25">
      <c r="I595"/>
      <c r="J595"/>
      <c r="K595"/>
      <c r="L595"/>
      <c r="M595"/>
      <c r="N595"/>
      <c r="O595"/>
    </row>
    <row r="596" spans="9:15" x14ac:dyDescent="0.25">
      <c r="I596"/>
      <c r="J596"/>
      <c r="K596"/>
      <c r="L596"/>
      <c r="M596"/>
      <c r="N596"/>
      <c r="O596"/>
    </row>
    <row r="597" spans="9:15" x14ac:dyDescent="0.25">
      <c r="I597"/>
      <c r="J597"/>
      <c r="K597"/>
      <c r="L597"/>
      <c r="M597"/>
      <c r="N597"/>
      <c r="O597"/>
    </row>
    <row r="598" spans="9:15" x14ac:dyDescent="0.25">
      <c r="I598"/>
      <c r="J598"/>
      <c r="K598"/>
      <c r="L598"/>
      <c r="M598"/>
      <c r="N598"/>
      <c r="O598"/>
    </row>
    <row r="599" spans="9:15" x14ac:dyDescent="0.25">
      <c r="I599"/>
      <c r="J599"/>
      <c r="K599"/>
      <c r="L599"/>
      <c r="M599"/>
      <c r="N599"/>
      <c r="O599"/>
    </row>
    <row r="600" spans="9:15" x14ac:dyDescent="0.25">
      <c r="I600"/>
      <c r="J600"/>
      <c r="K600"/>
      <c r="L600"/>
      <c r="M600"/>
      <c r="N600"/>
      <c r="O600"/>
    </row>
    <row r="601" spans="9:15" x14ac:dyDescent="0.25">
      <c r="I601"/>
      <c r="J601"/>
      <c r="K601"/>
      <c r="L601"/>
      <c r="M601"/>
      <c r="N601"/>
      <c r="O601"/>
    </row>
    <row r="602" spans="9:15" x14ac:dyDescent="0.25">
      <c r="I602"/>
      <c r="J602"/>
      <c r="K602"/>
      <c r="L602"/>
      <c r="M602"/>
      <c r="N602"/>
      <c r="O602"/>
    </row>
    <row r="603" spans="9:15" x14ac:dyDescent="0.25">
      <c r="I603"/>
      <c r="J603"/>
      <c r="K603"/>
      <c r="L603"/>
      <c r="M603"/>
      <c r="N603"/>
      <c r="O603"/>
    </row>
    <row r="604" spans="9:15" x14ac:dyDescent="0.25">
      <c r="I604"/>
      <c r="J604"/>
      <c r="K604"/>
      <c r="L604"/>
      <c r="M604"/>
      <c r="N604"/>
      <c r="O604"/>
    </row>
    <row r="605" spans="9:15" x14ac:dyDescent="0.25">
      <c r="I605"/>
      <c r="J605"/>
      <c r="K605"/>
      <c r="L605"/>
      <c r="M605"/>
      <c r="N605"/>
      <c r="O605"/>
    </row>
    <row r="606" spans="9:15" x14ac:dyDescent="0.25">
      <c r="I606"/>
      <c r="J606"/>
      <c r="K606"/>
      <c r="L606"/>
      <c r="M606"/>
      <c r="N606"/>
      <c r="O606"/>
    </row>
    <row r="607" spans="9:15" x14ac:dyDescent="0.25">
      <c r="I607"/>
      <c r="J607"/>
      <c r="K607"/>
      <c r="L607"/>
      <c r="M607"/>
      <c r="N607"/>
      <c r="O607"/>
    </row>
    <row r="608" spans="9:15" x14ac:dyDescent="0.25">
      <c r="I608"/>
      <c r="J608"/>
      <c r="K608"/>
      <c r="L608"/>
      <c r="M608"/>
      <c r="N608"/>
      <c r="O608"/>
    </row>
    <row r="609" spans="9:15" x14ac:dyDescent="0.25">
      <c r="I609"/>
      <c r="J609"/>
      <c r="K609"/>
      <c r="L609"/>
      <c r="M609"/>
      <c r="N609"/>
      <c r="O609"/>
    </row>
    <row r="610" spans="9:15" x14ac:dyDescent="0.25">
      <c r="I610"/>
      <c r="J610"/>
      <c r="K610"/>
      <c r="L610"/>
      <c r="M610"/>
      <c r="N610"/>
      <c r="O610"/>
    </row>
    <row r="611" spans="9:15" x14ac:dyDescent="0.25">
      <c r="I611"/>
      <c r="J611"/>
      <c r="K611"/>
      <c r="L611"/>
      <c r="M611"/>
      <c r="N611"/>
      <c r="O611"/>
    </row>
    <row r="612" spans="9:15" x14ac:dyDescent="0.25">
      <c r="I612"/>
      <c r="J612"/>
      <c r="K612"/>
      <c r="L612"/>
      <c r="M612"/>
      <c r="N612"/>
      <c r="O612"/>
    </row>
    <row r="613" spans="9:15" x14ac:dyDescent="0.25">
      <c r="I613"/>
      <c r="J613"/>
      <c r="K613"/>
      <c r="L613"/>
      <c r="M613"/>
      <c r="N613"/>
      <c r="O613"/>
    </row>
    <row r="614" spans="9:15" x14ac:dyDescent="0.25">
      <c r="I614"/>
      <c r="J614"/>
      <c r="K614"/>
      <c r="L614"/>
      <c r="M614"/>
      <c r="N614"/>
      <c r="O614"/>
    </row>
    <row r="615" spans="9:15" x14ac:dyDescent="0.25">
      <c r="I615"/>
      <c r="J615"/>
      <c r="K615"/>
      <c r="L615"/>
      <c r="M615"/>
      <c r="N615"/>
      <c r="O615"/>
    </row>
    <row r="616" spans="9:15" x14ac:dyDescent="0.25">
      <c r="I616"/>
      <c r="J616"/>
      <c r="K616"/>
      <c r="L616"/>
      <c r="M616"/>
      <c r="N616"/>
      <c r="O616"/>
    </row>
    <row r="617" spans="9:15" x14ac:dyDescent="0.25">
      <c r="I617"/>
      <c r="J617"/>
      <c r="K617"/>
      <c r="L617"/>
      <c r="M617"/>
      <c r="N617"/>
      <c r="O617"/>
    </row>
    <row r="618" spans="9:15" x14ac:dyDescent="0.25">
      <c r="I618"/>
      <c r="J618"/>
      <c r="K618"/>
      <c r="L618"/>
      <c r="M618"/>
      <c r="N618"/>
      <c r="O618"/>
    </row>
    <row r="619" spans="9:15" x14ac:dyDescent="0.25">
      <c r="I619"/>
      <c r="J619"/>
      <c r="K619"/>
      <c r="L619"/>
      <c r="M619"/>
      <c r="N619"/>
      <c r="O619"/>
    </row>
    <row r="620" spans="9:15" x14ac:dyDescent="0.25">
      <c r="I620"/>
      <c r="J620"/>
      <c r="K620"/>
      <c r="L620"/>
      <c r="M620"/>
      <c r="N620"/>
      <c r="O620"/>
    </row>
    <row r="621" spans="9:15" x14ac:dyDescent="0.25">
      <c r="I621"/>
      <c r="J621"/>
      <c r="K621"/>
      <c r="L621"/>
      <c r="M621"/>
      <c r="N621"/>
      <c r="O621"/>
    </row>
    <row r="622" spans="9:15" x14ac:dyDescent="0.25">
      <c r="I622"/>
      <c r="J622"/>
      <c r="K622"/>
      <c r="L622"/>
      <c r="M622"/>
      <c r="N622"/>
      <c r="O622"/>
    </row>
    <row r="623" spans="9:15" x14ac:dyDescent="0.25">
      <c r="I623"/>
      <c r="J623"/>
      <c r="K623"/>
      <c r="L623"/>
      <c r="M623"/>
      <c r="N623"/>
      <c r="O623"/>
    </row>
    <row r="624" spans="9:15" x14ac:dyDescent="0.25">
      <c r="I624"/>
      <c r="J624"/>
      <c r="K624"/>
      <c r="L624"/>
      <c r="M624"/>
      <c r="N624"/>
      <c r="O624"/>
    </row>
    <row r="625" spans="9:15" x14ac:dyDescent="0.25">
      <c r="I625"/>
      <c r="J625"/>
      <c r="K625"/>
      <c r="L625"/>
      <c r="M625"/>
      <c r="N625"/>
      <c r="O625"/>
    </row>
    <row r="626" spans="9:15" x14ac:dyDescent="0.25">
      <c r="I626"/>
      <c r="J626"/>
      <c r="K626"/>
      <c r="L626"/>
      <c r="M626"/>
      <c r="N626"/>
      <c r="O626"/>
    </row>
    <row r="627" spans="9:15" x14ac:dyDescent="0.25">
      <c r="I627"/>
      <c r="J627"/>
      <c r="K627"/>
      <c r="L627"/>
      <c r="M627"/>
      <c r="N627"/>
      <c r="O627"/>
    </row>
    <row r="628" spans="9:15" x14ac:dyDescent="0.25">
      <c r="I628"/>
      <c r="J628"/>
      <c r="K628"/>
      <c r="L628"/>
      <c r="M628"/>
      <c r="N628"/>
      <c r="O628"/>
    </row>
    <row r="629" spans="9:15" x14ac:dyDescent="0.25">
      <c r="I629"/>
      <c r="J629"/>
      <c r="K629"/>
      <c r="L629"/>
      <c r="M629"/>
      <c r="N629"/>
      <c r="O629"/>
    </row>
    <row r="630" spans="9:15" x14ac:dyDescent="0.25">
      <c r="I630"/>
      <c r="J630"/>
      <c r="K630"/>
      <c r="L630"/>
      <c r="M630"/>
      <c r="N630"/>
      <c r="O630"/>
    </row>
    <row r="631" spans="9:15" x14ac:dyDescent="0.25">
      <c r="I631"/>
      <c r="J631"/>
      <c r="K631"/>
      <c r="L631"/>
      <c r="M631"/>
      <c r="N631"/>
      <c r="O631"/>
    </row>
    <row r="632" spans="9:15" x14ac:dyDescent="0.25">
      <c r="I632"/>
      <c r="J632"/>
      <c r="K632"/>
      <c r="L632"/>
      <c r="M632"/>
      <c r="N632"/>
      <c r="O632"/>
    </row>
    <row r="633" spans="9:15" x14ac:dyDescent="0.25">
      <c r="I633"/>
      <c r="J633"/>
      <c r="K633"/>
      <c r="L633"/>
      <c r="M633"/>
      <c r="N633"/>
      <c r="O633"/>
    </row>
    <row r="634" spans="9:15" x14ac:dyDescent="0.25">
      <c r="I634"/>
      <c r="J634"/>
      <c r="K634"/>
      <c r="L634"/>
      <c r="M634"/>
      <c r="N634"/>
      <c r="O634"/>
    </row>
    <row r="635" spans="9:15" x14ac:dyDescent="0.25">
      <c r="I635"/>
      <c r="J635"/>
      <c r="K635"/>
      <c r="L635"/>
      <c r="M635"/>
      <c r="N635"/>
      <c r="O635"/>
    </row>
    <row r="636" spans="9:15" x14ac:dyDescent="0.25">
      <c r="I636"/>
      <c r="J636"/>
      <c r="K636"/>
      <c r="L636"/>
      <c r="M636"/>
      <c r="N636"/>
      <c r="O636"/>
    </row>
    <row r="637" spans="9:15" x14ac:dyDescent="0.25">
      <c r="I637"/>
      <c r="J637"/>
      <c r="K637"/>
      <c r="L637"/>
      <c r="M637"/>
      <c r="N637"/>
      <c r="O637"/>
    </row>
    <row r="638" spans="9:15" x14ac:dyDescent="0.25">
      <c r="I638"/>
      <c r="J638"/>
      <c r="K638"/>
      <c r="L638"/>
      <c r="M638"/>
      <c r="N638"/>
      <c r="O638"/>
    </row>
    <row r="639" spans="9:15" x14ac:dyDescent="0.25">
      <c r="I639"/>
      <c r="J639"/>
      <c r="K639"/>
      <c r="L639"/>
      <c r="M639"/>
      <c r="N639"/>
      <c r="O639"/>
    </row>
    <row r="640" spans="9:15" x14ac:dyDescent="0.25">
      <c r="I640"/>
      <c r="J640"/>
      <c r="K640"/>
      <c r="L640"/>
      <c r="M640"/>
      <c r="N640"/>
      <c r="O640"/>
    </row>
    <row r="641" spans="9:15" x14ac:dyDescent="0.25">
      <c r="I641"/>
      <c r="J641"/>
      <c r="K641"/>
      <c r="L641"/>
      <c r="M641"/>
      <c r="N641"/>
      <c r="O641"/>
    </row>
    <row r="642" spans="9:15" x14ac:dyDescent="0.25">
      <c r="I642"/>
      <c r="J642"/>
      <c r="K642"/>
      <c r="L642"/>
      <c r="M642"/>
      <c r="N642"/>
      <c r="O642"/>
    </row>
    <row r="643" spans="9:15" x14ac:dyDescent="0.25">
      <c r="I643"/>
      <c r="J643"/>
      <c r="K643"/>
      <c r="L643"/>
      <c r="M643"/>
      <c r="N643"/>
      <c r="O643"/>
    </row>
    <row r="644" spans="9:15" x14ac:dyDescent="0.25">
      <c r="I644"/>
      <c r="J644"/>
      <c r="K644"/>
      <c r="L644"/>
      <c r="M644"/>
      <c r="N644"/>
      <c r="O644"/>
    </row>
    <row r="645" spans="9:15" x14ac:dyDescent="0.25">
      <c r="I645"/>
      <c r="J645"/>
      <c r="K645"/>
      <c r="L645"/>
      <c r="M645"/>
      <c r="N645"/>
      <c r="O645"/>
    </row>
    <row r="646" spans="9:15" x14ac:dyDescent="0.25">
      <c r="I646"/>
      <c r="J646"/>
      <c r="K646"/>
      <c r="L646"/>
      <c r="M646"/>
      <c r="N646"/>
      <c r="O646"/>
    </row>
    <row r="647" spans="9:15" x14ac:dyDescent="0.25">
      <c r="I647"/>
      <c r="J647"/>
      <c r="K647"/>
      <c r="L647"/>
      <c r="M647"/>
      <c r="N647"/>
      <c r="O647"/>
    </row>
    <row r="648" spans="9:15" x14ac:dyDescent="0.25">
      <c r="I648"/>
      <c r="J648"/>
      <c r="K648"/>
      <c r="L648"/>
      <c r="M648"/>
      <c r="N648"/>
      <c r="O648"/>
    </row>
    <row r="649" spans="9:15" x14ac:dyDescent="0.25">
      <c r="I649"/>
      <c r="J649"/>
      <c r="K649"/>
      <c r="L649"/>
      <c r="M649"/>
      <c r="N649"/>
      <c r="O649"/>
    </row>
    <row r="650" spans="9:15" x14ac:dyDescent="0.25">
      <c r="I650"/>
      <c r="J650"/>
      <c r="K650"/>
      <c r="L650"/>
      <c r="M650"/>
      <c r="N650"/>
      <c r="O650"/>
    </row>
    <row r="651" spans="9:15" x14ac:dyDescent="0.25">
      <c r="I651"/>
      <c r="J651"/>
      <c r="K651"/>
      <c r="L651"/>
      <c r="M651"/>
      <c r="N651"/>
      <c r="O651"/>
    </row>
    <row r="652" spans="9:15" x14ac:dyDescent="0.25">
      <c r="I652"/>
      <c r="J652"/>
      <c r="K652"/>
      <c r="L652"/>
      <c r="M652"/>
      <c r="N652"/>
      <c r="O652"/>
    </row>
    <row r="653" spans="9:15" x14ac:dyDescent="0.25">
      <c r="I653"/>
      <c r="J653"/>
      <c r="K653"/>
      <c r="L653"/>
      <c r="M653"/>
      <c r="N653"/>
      <c r="O653"/>
    </row>
    <row r="654" spans="9:15" x14ac:dyDescent="0.25">
      <c r="I654"/>
      <c r="J654"/>
      <c r="K654"/>
      <c r="L654"/>
      <c r="M654"/>
      <c r="N654"/>
      <c r="O654"/>
    </row>
    <row r="655" spans="9:15" x14ac:dyDescent="0.25">
      <c r="I655"/>
      <c r="J655"/>
      <c r="K655"/>
      <c r="L655"/>
      <c r="M655"/>
      <c r="N655"/>
      <c r="O655"/>
    </row>
    <row r="656" spans="9:15" x14ac:dyDescent="0.25">
      <c r="I656"/>
      <c r="J656"/>
      <c r="K656"/>
      <c r="L656"/>
      <c r="M656"/>
      <c r="N656"/>
      <c r="O656"/>
    </row>
    <row r="657" spans="9:15" x14ac:dyDescent="0.25">
      <c r="I657"/>
      <c r="J657"/>
      <c r="K657"/>
      <c r="L657"/>
      <c r="M657"/>
      <c r="N657"/>
      <c r="O657"/>
    </row>
    <row r="658" spans="9:15" x14ac:dyDescent="0.25">
      <c r="I658"/>
      <c r="J658"/>
      <c r="K658"/>
      <c r="L658"/>
      <c r="M658"/>
      <c r="N658"/>
      <c r="O658"/>
    </row>
    <row r="659" spans="9:15" x14ac:dyDescent="0.25">
      <c r="I659"/>
      <c r="J659"/>
      <c r="K659"/>
      <c r="L659"/>
      <c r="M659"/>
      <c r="N659"/>
      <c r="O659"/>
    </row>
    <row r="660" spans="9:15" x14ac:dyDescent="0.25">
      <c r="I660"/>
      <c r="J660"/>
      <c r="K660"/>
      <c r="L660"/>
      <c r="M660"/>
      <c r="N660"/>
      <c r="O660"/>
    </row>
    <row r="661" spans="9:15" x14ac:dyDescent="0.25">
      <c r="I661"/>
      <c r="J661"/>
      <c r="K661"/>
      <c r="L661"/>
      <c r="M661"/>
      <c r="N661"/>
      <c r="O661"/>
    </row>
    <row r="662" spans="9:15" x14ac:dyDescent="0.25">
      <c r="I662"/>
      <c r="J662"/>
      <c r="K662"/>
      <c r="L662"/>
      <c r="M662"/>
      <c r="N662"/>
      <c r="O662"/>
    </row>
    <row r="663" spans="9:15" x14ac:dyDescent="0.25">
      <c r="I663"/>
      <c r="J663"/>
      <c r="K663"/>
      <c r="L663"/>
      <c r="M663"/>
      <c r="N663"/>
      <c r="O663"/>
    </row>
    <row r="664" spans="9:15" x14ac:dyDescent="0.25">
      <c r="I664"/>
      <c r="J664"/>
      <c r="K664"/>
      <c r="L664"/>
      <c r="M664"/>
      <c r="N664"/>
      <c r="O664"/>
    </row>
    <row r="665" spans="9:15" x14ac:dyDescent="0.25">
      <c r="I665"/>
      <c r="J665"/>
      <c r="K665"/>
      <c r="L665"/>
      <c r="M665"/>
      <c r="N665"/>
      <c r="O665"/>
    </row>
    <row r="666" spans="9:15" x14ac:dyDescent="0.25">
      <c r="I666"/>
      <c r="J666"/>
      <c r="K666"/>
      <c r="L666"/>
      <c r="M666"/>
      <c r="N666"/>
      <c r="O666"/>
    </row>
    <row r="667" spans="9:15" x14ac:dyDescent="0.25">
      <c r="I667"/>
      <c r="J667"/>
      <c r="K667"/>
      <c r="L667"/>
      <c r="M667"/>
      <c r="N667"/>
      <c r="O667"/>
    </row>
    <row r="668" spans="9:15" x14ac:dyDescent="0.25">
      <c r="I668"/>
      <c r="J668"/>
      <c r="K668"/>
      <c r="L668"/>
      <c r="M668"/>
      <c r="N668"/>
      <c r="O668"/>
    </row>
    <row r="669" spans="9:15" x14ac:dyDescent="0.25">
      <c r="I669"/>
      <c r="J669"/>
      <c r="K669"/>
      <c r="L669"/>
      <c r="M669"/>
      <c r="N669"/>
      <c r="O669"/>
    </row>
    <row r="670" spans="9:15" x14ac:dyDescent="0.25">
      <c r="I670"/>
      <c r="J670"/>
      <c r="K670"/>
      <c r="L670"/>
      <c r="M670"/>
      <c r="N670"/>
      <c r="O670"/>
    </row>
    <row r="671" spans="9:15" x14ac:dyDescent="0.25">
      <c r="I671"/>
      <c r="J671"/>
      <c r="K671"/>
      <c r="L671"/>
      <c r="M671"/>
      <c r="N671"/>
      <c r="O671"/>
    </row>
    <row r="672" spans="9:15" x14ac:dyDescent="0.25">
      <c r="I672"/>
      <c r="J672"/>
      <c r="K672"/>
      <c r="L672"/>
      <c r="M672"/>
      <c r="N672"/>
      <c r="O672"/>
    </row>
    <row r="673" spans="9:15" x14ac:dyDescent="0.25">
      <c r="I673"/>
      <c r="J673"/>
      <c r="K673"/>
      <c r="L673"/>
      <c r="M673"/>
      <c r="N673"/>
      <c r="O673"/>
    </row>
    <row r="674" spans="9:15" x14ac:dyDescent="0.25">
      <c r="I674"/>
      <c r="J674"/>
      <c r="K674"/>
      <c r="L674"/>
      <c r="M674"/>
      <c r="N674"/>
      <c r="O674"/>
    </row>
    <row r="675" spans="9:15" x14ac:dyDescent="0.25">
      <c r="I675"/>
      <c r="J675"/>
      <c r="K675"/>
      <c r="L675"/>
      <c r="M675"/>
      <c r="N675"/>
      <c r="O675"/>
    </row>
    <row r="676" spans="9:15" x14ac:dyDescent="0.25">
      <c r="I676"/>
      <c r="J676"/>
      <c r="K676"/>
      <c r="L676"/>
      <c r="M676"/>
      <c r="N676"/>
      <c r="O676"/>
    </row>
    <row r="677" spans="9:15" x14ac:dyDescent="0.25">
      <c r="I677"/>
      <c r="J677"/>
      <c r="K677"/>
      <c r="L677"/>
      <c r="M677"/>
      <c r="N677"/>
      <c r="O677"/>
    </row>
    <row r="678" spans="9:15" x14ac:dyDescent="0.25">
      <c r="I678"/>
      <c r="J678"/>
      <c r="K678"/>
      <c r="L678"/>
      <c r="M678"/>
      <c r="N678"/>
      <c r="O678"/>
    </row>
    <row r="679" spans="9:15" x14ac:dyDescent="0.25">
      <c r="I679"/>
      <c r="J679"/>
      <c r="K679"/>
      <c r="L679"/>
      <c r="M679"/>
      <c r="N679"/>
      <c r="O679"/>
    </row>
    <row r="680" spans="9:15" x14ac:dyDescent="0.25">
      <c r="I680"/>
      <c r="J680"/>
      <c r="K680"/>
      <c r="L680"/>
      <c r="M680"/>
      <c r="N680"/>
      <c r="O680"/>
    </row>
    <row r="681" spans="9:15" x14ac:dyDescent="0.25">
      <c r="I681"/>
      <c r="J681"/>
      <c r="K681"/>
      <c r="L681"/>
      <c r="M681"/>
      <c r="N681"/>
      <c r="O681"/>
    </row>
    <row r="682" spans="9:15" x14ac:dyDescent="0.25">
      <c r="I682"/>
      <c r="J682"/>
      <c r="K682"/>
      <c r="L682"/>
      <c r="M682"/>
      <c r="N682"/>
      <c r="O682"/>
    </row>
    <row r="683" spans="9:15" x14ac:dyDescent="0.25">
      <c r="I683"/>
      <c r="J683"/>
      <c r="K683"/>
      <c r="L683"/>
      <c r="M683"/>
      <c r="N683"/>
      <c r="O683"/>
    </row>
    <row r="684" spans="9:15" x14ac:dyDescent="0.25">
      <c r="I684"/>
      <c r="J684"/>
      <c r="K684"/>
      <c r="L684"/>
      <c r="M684"/>
      <c r="N684"/>
      <c r="O684"/>
    </row>
    <row r="685" spans="9:15" x14ac:dyDescent="0.25">
      <c r="I685"/>
      <c r="J685"/>
      <c r="K685"/>
      <c r="L685"/>
      <c r="M685"/>
      <c r="N685"/>
      <c r="O685"/>
    </row>
    <row r="686" spans="9:15" x14ac:dyDescent="0.25">
      <c r="I686"/>
      <c r="J686"/>
      <c r="K686"/>
      <c r="L686"/>
      <c r="M686"/>
      <c r="N686"/>
      <c r="O686"/>
    </row>
    <row r="687" spans="9:15" x14ac:dyDescent="0.25">
      <c r="I687"/>
      <c r="J687"/>
      <c r="K687"/>
      <c r="L687"/>
      <c r="M687"/>
      <c r="N687"/>
      <c r="O687"/>
    </row>
    <row r="688" spans="9:15" x14ac:dyDescent="0.25">
      <c r="I688"/>
      <c r="J688"/>
      <c r="K688"/>
      <c r="L688"/>
      <c r="M688"/>
      <c r="N688"/>
      <c r="O688"/>
    </row>
    <row r="689" spans="9:15" x14ac:dyDescent="0.25">
      <c r="I689"/>
      <c r="J689"/>
      <c r="K689"/>
      <c r="L689"/>
      <c r="M689"/>
      <c r="N689"/>
      <c r="O689"/>
    </row>
    <row r="690" spans="9:15" x14ac:dyDescent="0.25">
      <c r="I690"/>
      <c r="J690"/>
      <c r="K690"/>
      <c r="L690"/>
      <c r="M690"/>
      <c r="N690"/>
      <c r="O690"/>
    </row>
    <row r="691" spans="9:15" x14ac:dyDescent="0.25">
      <c r="I691"/>
      <c r="J691"/>
      <c r="K691"/>
      <c r="L691"/>
      <c r="M691"/>
      <c r="N691"/>
      <c r="O691"/>
    </row>
    <row r="692" spans="9:15" x14ac:dyDescent="0.25">
      <c r="I692"/>
      <c r="J692"/>
      <c r="K692"/>
      <c r="L692"/>
      <c r="M692"/>
      <c r="N692"/>
      <c r="O692"/>
    </row>
    <row r="693" spans="9:15" x14ac:dyDescent="0.25">
      <c r="I693"/>
      <c r="J693"/>
      <c r="K693"/>
      <c r="L693"/>
      <c r="M693"/>
      <c r="N693"/>
      <c r="O693"/>
    </row>
    <row r="694" spans="9:15" x14ac:dyDescent="0.25">
      <c r="I694"/>
      <c r="J694"/>
      <c r="K694"/>
      <c r="L694"/>
      <c r="M694"/>
      <c r="N694"/>
      <c r="O694"/>
    </row>
    <row r="695" spans="9:15" x14ac:dyDescent="0.25">
      <c r="I695"/>
      <c r="J695"/>
      <c r="K695"/>
      <c r="L695"/>
      <c r="M695"/>
      <c r="N695"/>
      <c r="O695"/>
    </row>
    <row r="696" spans="9:15" x14ac:dyDescent="0.25">
      <c r="I696"/>
      <c r="J696"/>
      <c r="K696"/>
      <c r="L696"/>
      <c r="M696"/>
      <c r="N696"/>
      <c r="O696"/>
    </row>
    <row r="697" spans="9:15" x14ac:dyDescent="0.25">
      <c r="I697"/>
      <c r="J697"/>
      <c r="K697"/>
      <c r="L697"/>
      <c r="M697"/>
      <c r="N697"/>
      <c r="O697"/>
    </row>
    <row r="698" spans="9:15" x14ac:dyDescent="0.25">
      <c r="I698"/>
      <c r="J698"/>
      <c r="K698"/>
      <c r="L698"/>
      <c r="M698"/>
      <c r="N698"/>
      <c r="O698"/>
    </row>
    <row r="699" spans="9:15" x14ac:dyDescent="0.25">
      <c r="I699"/>
      <c r="J699"/>
      <c r="K699"/>
      <c r="L699"/>
      <c r="M699"/>
      <c r="N699"/>
      <c r="O699"/>
    </row>
    <row r="700" spans="9:15" x14ac:dyDescent="0.25">
      <c r="I700"/>
      <c r="J700"/>
      <c r="K700"/>
      <c r="L700"/>
      <c r="M700"/>
      <c r="N700"/>
      <c r="O700"/>
    </row>
    <row r="701" spans="9:15" x14ac:dyDescent="0.25">
      <c r="I701"/>
      <c r="J701"/>
      <c r="K701"/>
      <c r="L701"/>
      <c r="M701"/>
      <c r="N701"/>
      <c r="O701"/>
    </row>
    <row r="702" spans="9:15" x14ac:dyDescent="0.25">
      <c r="I702"/>
      <c r="J702"/>
      <c r="K702"/>
      <c r="L702"/>
      <c r="M702"/>
      <c r="N702"/>
      <c r="O702"/>
    </row>
    <row r="703" spans="9:15" x14ac:dyDescent="0.25">
      <c r="I703"/>
      <c r="J703"/>
      <c r="K703"/>
      <c r="L703"/>
      <c r="M703"/>
      <c r="N703"/>
      <c r="O703"/>
    </row>
    <row r="704" spans="9:15" x14ac:dyDescent="0.25">
      <c r="I704"/>
      <c r="J704"/>
      <c r="K704"/>
      <c r="L704"/>
      <c r="M704"/>
      <c r="N704"/>
      <c r="O704"/>
    </row>
    <row r="705" spans="9:15" x14ac:dyDescent="0.25">
      <c r="I705"/>
      <c r="J705"/>
      <c r="K705"/>
      <c r="L705"/>
      <c r="M705"/>
      <c r="N705"/>
      <c r="O705"/>
    </row>
    <row r="706" spans="9:15" x14ac:dyDescent="0.25">
      <c r="I706"/>
      <c r="J706"/>
      <c r="K706"/>
      <c r="L706"/>
      <c r="M706"/>
      <c r="N706"/>
      <c r="O706"/>
    </row>
    <row r="707" spans="9:15" x14ac:dyDescent="0.25">
      <c r="I707"/>
      <c r="J707"/>
      <c r="K707"/>
      <c r="L707"/>
      <c r="M707"/>
      <c r="N707"/>
      <c r="O707"/>
    </row>
    <row r="708" spans="9:15" x14ac:dyDescent="0.25">
      <c r="I708"/>
      <c r="J708"/>
      <c r="K708"/>
      <c r="L708"/>
      <c r="M708"/>
      <c r="N708"/>
      <c r="O708"/>
    </row>
    <row r="709" spans="9:15" x14ac:dyDescent="0.25">
      <c r="I709"/>
      <c r="J709"/>
      <c r="K709"/>
      <c r="L709"/>
      <c r="M709"/>
      <c r="N709"/>
      <c r="O709"/>
    </row>
    <row r="710" spans="9:15" x14ac:dyDescent="0.25">
      <c r="I710"/>
      <c r="J710"/>
      <c r="K710"/>
      <c r="L710"/>
      <c r="M710"/>
      <c r="N710"/>
      <c r="O710"/>
    </row>
    <row r="711" spans="9:15" x14ac:dyDescent="0.25">
      <c r="I711"/>
      <c r="J711"/>
      <c r="K711"/>
      <c r="L711"/>
      <c r="M711"/>
      <c r="N711"/>
      <c r="O711"/>
    </row>
    <row r="712" spans="9:15" x14ac:dyDescent="0.25">
      <c r="I712"/>
      <c r="J712"/>
      <c r="K712"/>
      <c r="L712"/>
      <c r="M712"/>
      <c r="N712"/>
      <c r="O712"/>
    </row>
    <row r="713" spans="9:15" x14ac:dyDescent="0.25">
      <c r="I713"/>
      <c r="J713"/>
      <c r="K713"/>
      <c r="L713"/>
      <c r="M713"/>
      <c r="N713"/>
      <c r="O713"/>
    </row>
    <row r="714" spans="9:15" x14ac:dyDescent="0.25">
      <c r="I714"/>
      <c r="J714"/>
      <c r="K714"/>
      <c r="L714"/>
      <c r="M714"/>
      <c r="N714"/>
      <c r="O714"/>
    </row>
    <row r="715" spans="9:15" x14ac:dyDescent="0.25">
      <c r="I715"/>
      <c r="J715"/>
      <c r="K715"/>
      <c r="L715"/>
      <c r="M715"/>
      <c r="N715"/>
      <c r="O715"/>
    </row>
    <row r="716" spans="9:15" x14ac:dyDescent="0.25">
      <c r="I716"/>
      <c r="J716"/>
      <c r="K716"/>
      <c r="L716"/>
      <c r="M716"/>
      <c r="N716"/>
      <c r="O716"/>
    </row>
    <row r="717" spans="9:15" x14ac:dyDescent="0.25">
      <c r="I717"/>
      <c r="J717"/>
      <c r="K717"/>
      <c r="L717"/>
      <c r="M717"/>
      <c r="N717"/>
      <c r="O717"/>
    </row>
    <row r="718" spans="9:15" x14ac:dyDescent="0.25">
      <c r="I718"/>
      <c r="J718"/>
      <c r="K718"/>
      <c r="L718"/>
      <c r="M718"/>
      <c r="N718"/>
      <c r="O718"/>
    </row>
    <row r="719" spans="9:15" x14ac:dyDescent="0.25">
      <c r="I719"/>
      <c r="J719"/>
      <c r="K719"/>
      <c r="L719"/>
      <c r="M719"/>
      <c r="N719"/>
      <c r="O719"/>
    </row>
    <row r="720" spans="9:15" x14ac:dyDescent="0.25">
      <c r="I720"/>
      <c r="J720"/>
      <c r="K720"/>
      <c r="L720"/>
      <c r="M720"/>
      <c r="N720"/>
      <c r="O720"/>
    </row>
    <row r="721" spans="9:15" x14ac:dyDescent="0.25">
      <c r="I721"/>
      <c r="J721"/>
      <c r="K721"/>
      <c r="L721"/>
      <c r="M721"/>
      <c r="N721"/>
      <c r="O721"/>
    </row>
    <row r="722" spans="9:15" x14ac:dyDescent="0.25">
      <c r="I722"/>
      <c r="J722"/>
      <c r="K722"/>
      <c r="L722"/>
      <c r="M722"/>
      <c r="N722"/>
      <c r="O722"/>
    </row>
    <row r="723" spans="9:15" x14ac:dyDescent="0.25">
      <c r="I723"/>
      <c r="J723"/>
      <c r="K723"/>
      <c r="L723"/>
      <c r="M723"/>
      <c r="N723"/>
      <c r="O723"/>
    </row>
    <row r="724" spans="9:15" x14ac:dyDescent="0.25">
      <c r="I724"/>
      <c r="J724"/>
      <c r="K724"/>
      <c r="L724"/>
      <c r="M724"/>
      <c r="N724"/>
      <c r="O724"/>
    </row>
    <row r="725" spans="9:15" x14ac:dyDescent="0.25">
      <c r="I725"/>
      <c r="J725"/>
      <c r="K725"/>
      <c r="L725"/>
      <c r="M725"/>
      <c r="N725"/>
      <c r="O725"/>
    </row>
    <row r="726" spans="9:15" x14ac:dyDescent="0.25">
      <c r="I726"/>
      <c r="J726"/>
      <c r="K726"/>
      <c r="L726"/>
      <c r="M726"/>
      <c r="N726"/>
      <c r="O726"/>
    </row>
    <row r="727" spans="9:15" x14ac:dyDescent="0.25">
      <c r="I727"/>
      <c r="J727"/>
      <c r="K727"/>
      <c r="L727"/>
      <c r="M727"/>
      <c r="N727"/>
      <c r="O727"/>
    </row>
    <row r="728" spans="9:15" x14ac:dyDescent="0.25">
      <c r="I728"/>
      <c r="J728"/>
      <c r="K728"/>
      <c r="L728"/>
      <c r="M728"/>
      <c r="N728"/>
      <c r="O728"/>
    </row>
    <row r="729" spans="9:15" x14ac:dyDescent="0.25">
      <c r="I729"/>
      <c r="J729"/>
      <c r="K729"/>
      <c r="L729"/>
      <c r="M729"/>
      <c r="N729"/>
      <c r="O729"/>
    </row>
    <row r="730" spans="9:15" x14ac:dyDescent="0.25">
      <c r="I730"/>
      <c r="J730"/>
      <c r="K730"/>
      <c r="L730"/>
      <c r="M730"/>
      <c r="N730"/>
      <c r="O730"/>
    </row>
    <row r="731" spans="9:15" x14ac:dyDescent="0.25">
      <c r="I731"/>
      <c r="J731"/>
      <c r="K731"/>
      <c r="L731"/>
      <c r="M731"/>
      <c r="N731"/>
      <c r="O731"/>
    </row>
    <row r="732" spans="9:15" x14ac:dyDescent="0.25">
      <c r="I732"/>
      <c r="J732"/>
      <c r="K732"/>
      <c r="L732"/>
      <c r="M732"/>
      <c r="N732"/>
      <c r="O732"/>
    </row>
    <row r="733" spans="9:15" x14ac:dyDescent="0.25">
      <c r="I733"/>
      <c r="J733"/>
      <c r="K733"/>
      <c r="L733"/>
      <c r="M733"/>
      <c r="N733"/>
      <c r="O733"/>
    </row>
    <row r="734" spans="9:15" x14ac:dyDescent="0.25">
      <c r="I734"/>
      <c r="J734"/>
      <c r="K734"/>
      <c r="L734"/>
      <c r="M734"/>
      <c r="N734"/>
      <c r="O734"/>
    </row>
    <row r="735" spans="9:15" x14ac:dyDescent="0.25">
      <c r="I735"/>
      <c r="J735"/>
      <c r="K735"/>
      <c r="L735"/>
      <c r="M735"/>
      <c r="N735"/>
      <c r="O735"/>
    </row>
    <row r="736" spans="9:15" x14ac:dyDescent="0.25">
      <c r="I736"/>
      <c r="J736"/>
      <c r="K736"/>
      <c r="L736"/>
      <c r="M736"/>
      <c r="N736"/>
      <c r="O736"/>
    </row>
    <row r="737" spans="9:15" x14ac:dyDescent="0.25">
      <c r="I737"/>
      <c r="J737"/>
      <c r="K737"/>
      <c r="L737"/>
      <c r="M737"/>
      <c r="N737"/>
      <c r="O737"/>
    </row>
    <row r="738" spans="9:15" x14ac:dyDescent="0.25">
      <c r="I738"/>
      <c r="J738"/>
      <c r="K738"/>
      <c r="L738"/>
      <c r="M738"/>
      <c r="N738"/>
      <c r="O738"/>
    </row>
    <row r="739" spans="9:15" x14ac:dyDescent="0.25">
      <c r="I739"/>
      <c r="J739"/>
      <c r="K739"/>
      <c r="L739"/>
      <c r="M739"/>
      <c r="N739"/>
      <c r="O739"/>
    </row>
    <row r="740" spans="9:15" x14ac:dyDescent="0.25">
      <c r="I740"/>
      <c r="J740"/>
      <c r="K740"/>
      <c r="L740"/>
      <c r="M740"/>
      <c r="N740"/>
      <c r="O740"/>
    </row>
    <row r="741" spans="9:15" x14ac:dyDescent="0.25">
      <c r="I741"/>
      <c r="J741"/>
      <c r="K741"/>
      <c r="L741"/>
      <c r="M741"/>
      <c r="N741"/>
      <c r="O741"/>
    </row>
    <row r="742" spans="9:15" x14ac:dyDescent="0.25">
      <c r="I742"/>
      <c r="J742"/>
      <c r="K742"/>
      <c r="L742"/>
      <c r="M742"/>
      <c r="N742"/>
      <c r="O742"/>
    </row>
    <row r="743" spans="9:15" x14ac:dyDescent="0.25">
      <c r="I743"/>
      <c r="J743"/>
      <c r="K743"/>
      <c r="L743"/>
      <c r="M743"/>
      <c r="N743"/>
      <c r="O743"/>
    </row>
    <row r="744" spans="9:15" x14ac:dyDescent="0.25">
      <c r="I744"/>
      <c r="J744"/>
      <c r="K744"/>
      <c r="L744"/>
      <c r="M744"/>
      <c r="N744"/>
      <c r="O744"/>
    </row>
    <row r="745" spans="9:15" x14ac:dyDescent="0.25">
      <c r="I745"/>
      <c r="J745"/>
      <c r="K745"/>
      <c r="L745"/>
      <c r="M745"/>
      <c r="N745"/>
      <c r="O745"/>
    </row>
    <row r="746" spans="9:15" x14ac:dyDescent="0.25">
      <c r="I746"/>
      <c r="J746"/>
      <c r="K746"/>
      <c r="L746"/>
      <c r="M746"/>
      <c r="N746"/>
      <c r="O746"/>
    </row>
    <row r="747" spans="9:15" x14ac:dyDescent="0.25">
      <c r="I747"/>
      <c r="J747"/>
      <c r="K747"/>
      <c r="L747"/>
      <c r="M747"/>
      <c r="N747"/>
      <c r="O747"/>
    </row>
    <row r="748" spans="9:15" x14ac:dyDescent="0.25">
      <c r="I748"/>
      <c r="J748"/>
      <c r="K748"/>
      <c r="L748"/>
      <c r="M748"/>
      <c r="N748"/>
      <c r="O748"/>
    </row>
    <row r="749" spans="9:15" x14ac:dyDescent="0.25">
      <c r="I749"/>
      <c r="J749"/>
      <c r="K749"/>
      <c r="L749"/>
      <c r="M749"/>
      <c r="N749"/>
      <c r="O749"/>
    </row>
    <row r="750" spans="9:15" x14ac:dyDescent="0.25">
      <c r="I750"/>
      <c r="J750"/>
      <c r="K750"/>
      <c r="L750"/>
      <c r="M750"/>
      <c r="N750"/>
      <c r="O750"/>
    </row>
    <row r="751" spans="9:15" x14ac:dyDescent="0.25">
      <c r="I751"/>
      <c r="J751"/>
      <c r="K751"/>
      <c r="L751"/>
      <c r="M751"/>
      <c r="N751"/>
      <c r="O751"/>
    </row>
    <row r="752" spans="9:15" x14ac:dyDescent="0.25">
      <c r="I752"/>
      <c r="J752"/>
      <c r="K752"/>
      <c r="L752"/>
      <c r="M752"/>
      <c r="N752"/>
      <c r="O752"/>
    </row>
    <row r="753" spans="9:15" x14ac:dyDescent="0.25">
      <c r="I753"/>
      <c r="J753"/>
      <c r="K753"/>
      <c r="L753"/>
      <c r="M753"/>
      <c r="N753"/>
      <c r="O753"/>
    </row>
    <row r="754" spans="9:15" x14ac:dyDescent="0.25">
      <c r="I754"/>
      <c r="J754"/>
      <c r="K754"/>
      <c r="L754"/>
      <c r="M754"/>
      <c r="N754"/>
      <c r="O754"/>
    </row>
    <row r="755" spans="9:15" x14ac:dyDescent="0.25">
      <c r="I755"/>
      <c r="J755"/>
      <c r="K755"/>
      <c r="L755"/>
      <c r="M755"/>
      <c r="N755"/>
      <c r="O755"/>
    </row>
    <row r="756" spans="9:15" x14ac:dyDescent="0.25">
      <c r="I756"/>
      <c r="J756"/>
      <c r="K756"/>
      <c r="L756"/>
      <c r="M756"/>
      <c r="N756"/>
      <c r="O756"/>
    </row>
    <row r="757" spans="9:15" x14ac:dyDescent="0.25">
      <c r="I757"/>
      <c r="J757"/>
      <c r="K757"/>
      <c r="L757"/>
      <c r="M757"/>
      <c r="N757"/>
      <c r="O757"/>
    </row>
    <row r="758" spans="9:15" x14ac:dyDescent="0.25">
      <c r="I758"/>
      <c r="J758"/>
      <c r="K758"/>
      <c r="L758"/>
      <c r="M758"/>
      <c r="N758"/>
      <c r="O758"/>
    </row>
    <row r="759" spans="9:15" x14ac:dyDescent="0.25">
      <c r="I759"/>
      <c r="J759"/>
      <c r="K759"/>
      <c r="L759"/>
      <c r="M759"/>
      <c r="N759"/>
      <c r="O759"/>
    </row>
    <row r="760" spans="9:15" x14ac:dyDescent="0.25">
      <c r="I760"/>
      <c r="J760"/>
      <c r="K760"/>
      <c r="L760"/>
      <c r="M760"/>
      <c r="N760"/>
      <c r="O760"/>
    </row>
    <row r="761" spans="9:15" x14ac:dyDescent="0.25">
      <c r="I761"/>
      <c r="J761"/>
      <c r="K761"/>
      <c r="L761"/>
      <c r="M761"/>
      <c r="N761"/>
      <c r="O761"/>
    </row>
    <row r="762" spans="9:15" x14ac:dyDescent="0.25">
      <c r="I762"/>
      <c r="J762"/>
      <c r="K762"/>
      <c r="L762"/>
      <c r="M762"/>
      <c r="N762"/>
      <c r="O762"/>
    </row>
    <row r="763" spans="9:15" x14ac:dyDescent="0.25">
      <c r="I763"/>
      <c r="J763"/>
      <c r="K763"/>
      <c r="L763"/>
      <c r="M763"/>
      <c r="N763"/>
      <c r="O763"/>
    </row>
    <row r="764" spans="9:15" x14ac:dyDescent="0.25">
      <c r="I764"/>
      <c r="J764"/>
      <c r="K764"/>
      <c r="L764"/>
      <c r="M764"/>
      <c r="N764"/>
      <c r="O764"/>
    </row>
    <row r="765" spans="9:15" x14ac:dyDescent="0.25">
      <c r="I765"/>
      <c r="J765"/>
      <c r="K765"/>
      <c r="L765"/>
      <c r="M765"/>
      <c r="N765"/>
      <c r="O765"/>
    </row>
    <row r="766" spans="9:15" x14ac:dyDescent="0.25">
      <c r="I766"/>
      <c r="J766"/>
      <c r="K766"/>
      <c r="L766"/>
      <c r="M766"/>
      <c r="N766"/>
      <c r="O766"/>
    </row>
    <row r="767" spans="9:15" x14ac:dyDescent="0.25">
      <c r="I767"/>
      <c r="J767"/>
      <c r="K767"/>
      <c r="L767"/>
      <c r="M767"/>
      <c r="N767"/>
      <c r="O767"/>
    </row>
    <row r="768" spans="9:15" x14ac:dyDescent="0.25">
      <c r="I768"/>
      <c r="J768"/>
      <c r="K768"/>
      <c r="L768"/>
      <c r="M768"/>
      <c r="N768"/>
      <c r="O768"/>
    </row>
    <row r="769" spans="9:15" x14ac:dyDescent="0.25">
      <c r="I769"/>
      <c r="J769"/>
      <c r="K769"/>
      <c r="L769"/>
      <c r="M769"/>
      <c r="N769"/>
      <c r="O769"/>
    </row>
    <row r="770" spans="9:15" x14ac:dyDescent="0.25">
      <c r="I770"/>
      <c r="J770"/>
      <c r="K770"/>
      <c r="L770"/>
      <c r="M770"/>
      <c r="N770"/>
      <c r="O770"/>
    </row>
    <row r="771" spans="9:15" x14ac:dyDescent="0.25">
      <c r="I771"/>
      <c r="J771"/>
      <c r="K771"/>
      <c r="L771"/>
      <c r="M771"/>
      <c r="N771"/>
      <c r="O771"/>
    </row>
    <row r="772" spans="9:15" x14ac:dyDescent="0.25">
      <c r="I772"/>
      <c r="J772"/>
      <c r="K772"/>
      <c r="L772"/>
      <c r="M772"/>
      <c r="N772"/>
      <c r="O772"/>
    </row>
    <row r="773" spans="9:15" x14ac:dyDescent="0.25">
      <c r="I773"/>
      <c r="J773"/>
      <c r="K773"/>
      <c r="L773"/>
      <c r="M773"/>
      <c r="N773"/>
      <c r="O773"/>
    </row>
    <row r="774" spans="9:15" x14ac:dyDescent="0.25">
      <c r="I774"/>
      <c r="J774"/>
      <c r="K774"/>
      <c r="L774"/>
      <c r="M774"/>
      <c r="N774"/>
      <c r="O774"/>
    </row>
    <row r="775" spans="9:15" x14ac:dyDescent="0.25">
      <c r="I775"/>
      <c r="J775"/>
      <c r="K775"/>
      <c r="L775"/>
      <c r="M775"/>
      <c r="N775"/>
      <c r="O775"/>
    </row>
    <row r="776" spans="9:15" x14ac:dyDescent="0.25">
      <c r="I776"/>
      <c r="J776"/>
      <c r="K776"/>
      <c r="L776"/>
      <c r="M776"/>
      <c r="N776"/>
      <c r="O776"/>
    </row>
    <row r="777" spans="9:15" x14ac:dyDescent="0.25">
      <c r="I777"/>
      <c r="J777"/>
      <c r="K777"/>
      <c r="L777"/>
      <c r="M777"/>
      <c r="N777"/>
      <c r="O777"/>
    </row>
    <row r="778" spans="9:15" x14ac:dyDescent="0.25">
      <c r="I778"/>
      <c r="J778"/>
      <c r="K778"/>
      <c r="L778"/>
      <c r="M778"/>
      <c r="N778"/>
      <c r="O778"/>
    </row>
    <row r="779" spans="9:15" x14ac:dyDescent="0.25">
      <c r="I779"/>
      <c r="J779"/>
      <c r="K779"/>
      <c r="L779"/>
      <c r="M779"/>
      <c r="N779"/>
      <c r="O779"/>
    </row>
    <row r="780" spans="9:15" x14ac:dyDescent="0.25">
      <c r="I780"/>
      <c r="J780"/>
      <c r="K780"/>
      <c r="L780"/>
      <c r="M780"/>
      <c r="N780"/>
      <c r="O780"/>
    </row>
    <row r="781" spans="9:15" x14ac:dyDescent="0.25">
      <c r="I781"/>
      <c r="J781"/>
      <c r="K781"/>
      <c r="L781"/>
      <c r="M781"/>
      <c r="N781"/>
      <c r="O781"/>
    </row>
    <row r="782" spans="9:15" x14ac:dyDescent="0.25">
      <c r="I782"/>
      <c r="J782"/>
      <c r="K782"/>
      <c r="L782"/>
      <c r="M782"/>
      <c r="N782"/>
      <c r="O782"/>
    </row>
    <row r="783" spans="9:15" x14ac:dyDescent="0.25">
      <c r="I783"/>
      <c r="J783"/>
      <c r="K783"/>
      <c r="L783"/>
      <c r="M783"/>
      <c r="N783"/>
      <c r="O783"/>
    </row>
    <row r="784" spans="9:15" x14ac:dyDescent="0.25">
      <c r="I784"/>
      <c r="J784"/>
      <c r="K784"/>
      <c r="L784"/>
      <c r="M784"/>
      <c r="N784"/>
      <c r="O784"/>
    </row>
    <row r="785" spans="9:15" x14ac:dyDescent="0.25">
      <c r="I785"/>
      <c r="J785"/>
      <c r="K785"/>
      <c r="L785"/>
      <c r="M785"/>
      <c r="N785"/>
      <c r="O785"/>
    </row>
    <row r="786" spans="9:15" x14ac:dyDescent="0.25">
      <c r="I786"/>
      <c r="J786"/>
      <c r="K786"/>
      <c r="L786"/>
      <c r="M786"/>
      <c r="N786"/>
      <c r="O786"/>
    </row>
    <row r="787" spans="9:15" x14ac:dyDescent="0.25">
      <c r="I787"/>
      <c r="J787"/>
      <c r="K787"/>
      <c r="L787"/>
      <c r="M787"/>
      <c r="N787"/>
      <c r="O787"/>
    </row>
    <row r="788" spans="9:15" x14ac:dyDescent="0.25">
      <c r="I788"/>
      <c r="J788"/>
      <c r="K788"/>
      <c r="L788"/>
      <c r="M788"/>
      <c r="N788"/>
      <c r="O788"/>
    </row>
    <row r="789" spans="9:15" x14ac:dyDescent="0.25">
      <c r="I789"/>
      <c r="J789"/>
      <c r="K789"/>
      <c r="L789"/>
      <c r="M789"/>
      <c r="N789"/>
      <c r="O789"/>
    </row>
    <row r="790" spans="9:15" x14ac:dyDescent="0.25">
      <c r="I790"/>
      <c r="J790"/>
      <c r="K790"/>
      <c r="L790"/>
      <c r="M790"/>
      <c r="N790"/>
      <c r="O790"/>
    </row>
    <row r="791" spans="9:15" x14ac:dyDescent="0.25">
      <c r="I791"/>
      <c r="J791"/>
      <c r="K791"/>
      <c r="L791"/>
      <c r="M791"/>
      <c r="N791"/>
      <c r="O791"/>
    </row>
    <row r="792" spans="9:15" x14ac:dyDescent="0.25">
      <c r="I792"/>
      <c r="J792"/>
      <c r="K792"/>
      <c r="L792"/>
      <c r="M792"/>
      <c r="N792"/>
      <c r="O792"/>
    </row>
    <row r="793" spans="9:15" x14ac:dyDescent="0.25">
      <c r="I793"/>
      <c r="J793"/>
      <c r="K793"/>
      <c r="L793"/>
      <c r="M793"/>
      <c r="N793"/>
      <c r="O793"/>
    </row>
    <row r="794" spans="9:15" x14ac:dyDescent="0.25">
      <c r="I794"/>
      <c r="J794"/>
      <c r="K794"/>
      <c r="L794"/>
      <c r="M794"/>
      <c r="N794"/>
      <c r="O794"/>
    </row>
    <row r="795" spans="9:15" x14ac:dyDescent="0.25">
      <c r="I795"/>
      <c r="J795"/>
      <c r="K795"/>
      <c r="L795"/>
      <c r="M795"/>
      <c r="N795"/>
      <c r="O795"/>
    </row>
    <row r="796" spans="9:15" x14ac:dyDescent="0.25">
      <c r="I796"/>
      <c r="J796"/>
      <c r="K796"/>
      <c r="L796"/>
      <c r="M796"/>
      <c r="N796"/>
      <c r="O796"/>
    </row>
    <row r="797" spans="9:15" x14ac:dyDescent="0.25">
      <c r="I797"/>
      <c r="J797"/>
      <c r="K797"/>
      <c r="L797"/>
      <c r="M797"/>
      <c r="N797"/>
      <c r="O797"/>
    </row>
    <row r="798" spans="9:15" x14ac:dyDescent="0.25">
      <c r="I798"/>
      <c r="J798"/>
      <c r="K798"/>
      <c r="L798"/>
      <c r="M798"/>
      <c r="N798"/>
      <c r="O798"/>
    </row>
    <row r="799" spans="9:15" x14ac:dyDescent="0.25">
      <c r="I799"/>
      <c r="J799"/>
      <c r="K799"/>
      <c r="L799"/>
      <c r="M799"/>
      <c r="N799"/>
      <c r="O799"/>
    </row>
    <row r="800" spans="9:15" x14ac:dyDescent="0.25">
      <c r="I800"/>
      <c r="J800"/>
      <c r="K800"/>
      <c r="L800"/>
      <c r="M800"/>
      <c r="N800"/>
      <c r="O800"/>
    </row>
    <row r="801" spans="9:15" x14ac:dyDescent="0.25">
      <c r="I801"/>
      <c r="J801"/>
      <c r="K801"/>
      <c r="L801"/>
      <c r="M801"/>
      <c r="N801"/>
      <c r="O801"/>
    </row>
    <row r="802" spans="9:15" x14ac:dyDescent="0.25">
      <c r="I802"/>
      <c r="J802"/>
      <c r="K802"/>
      <c r="L802"/>
      <c r="M802"/>
      <c r="N802"/>
      <c r="O802"/>
    </row>
    <row r="803" spans="9:15" x14ac:dyDescent="0.25">
      <c r="I803"/>
      <c r="J803"/>
      <c r="K803"/>
      <c r="L803"/>
      <c r="M803"/>
      <c r="N803"/>
      <c r="O803"/>
    </row>
    <row r="804" spans="9:15" x14ac:dyDescent="0.25">
      <c r="I804"/>
      <c r="J804"/>
      <c r="K804"/>
      <c r="L804"/>
      <c r="M804"/>
      <c r="N804"/>
      <c r="O804"/>
    </row>
    <row r="805" spans="9:15" x14ac:dyDescent="0.25">
      <c r="I805"/>
      <c r="J805"/>
      <c r="K805"/>
      <c r="L805"/>
      <c r="M805"/>
      <c r="N805"/>
      <c r="O805"/>
    </row>
    <row r="806" spans="9:15" x14ac:dyDescent="0.25">
      <c r="I806"/>
      <c r="J806"/>
      <c r="K806"/>
      <c r="L806"/>
      <c r="M806"/>
      <c r="N806"/>
      <c r="O806"/>
    </row>
    <row r="807" spans="9:15" x14ac:dyDescent="0.25">
      <c r="I807"/>
      <c r="J807"/>
      <c r="K807"/>
      <c r="L807"/>
      <c r="M807"/>
      <c r="N807"/>
      <c r="O807"/>
    </row>
    <row r="808" spans="9:15" x14ac:dyDescent="0.25">
      <c r="I808"/>
      <c r="J808"/>
      <c r="K808"/>
      <c r="L808"/>
      <c r="M808"/>
      <c r="N808"/>
      <c r="O808"/>
    </row>
    <row r="809" spans="9:15" x14ac:dyDescent="0.25">
      <c r="I809"/>
      <c r="J809"/>
      <c r="K809"/>
      <c r="L809"/>
      <c r="M809"/>
      <c r="N809"/>
      <c r="O809"/>
    </row>
    <row r="810" spans="9:15" x14ac:dyDescent="0.25">
      <c r="I810"/>
      <c r="J810"/>
      <c r="K810"/>
      <c r="L810"/>
      <c r="M810"/>
      <c r="N810"/>
      <c r="O810"/>
    </row>
    <row r="811" spans="9:15" x14ac:dyDescent="0.25">
      <c r="I811"/>
      <c r="J811"/>
      <c r="K811"/>
      <c r="L811"/>
      <c r="M811"/>
      <c r="N811"/>
      <c r="O811"/>
    </row>
    <row r="812" spans="9:15" x14ac:dyDescent="0.25">
      <c r="I812"/>
      <c r="J812"/>
      <c r="K812"/>
      <c r="L812"/>
      <c r="M812"/>
      <c r="N812"/>
      <c r="O812"/>
    </row>
    <row r="813" spans="9:15" x14ac:dyDescent="0.25">
      <c r="I813"/>
      <c r="J813"/>
      <c r="K813"/>
      <c r="L813"/>
      <c r="M813"/>
      <c r="N813"/>
      <c r="O813"/>
    </row>
    <row r="814" spans="9:15" x14ac:dyDescent="0.25">
      <c r="I814"/>
      <c r="J814"/>
      <c r="K814"/>
      <c r="L814"/>
      <c r="M814"/>
      <c r="N814"/>
      <c r="O814"/>
    </row>
    <row r="815" spans="9:15" x14ac:dyDescent="0.25">
      <c r="I815"/>
      <c r="J815"/>
      <c r="K815"/>
      <c r="L815"/>
      <c r="M815"/>
      <c r="N815"/>
      <c r="O815"/>
    </row>
    <row r="816" spans="9:15" x14ac:dyDescent="0.25">
      <c r="I816"/>
      <c r="J816"/>
      <c r="K816"/>
      <c r="L816"/>
      <c r="M816"/>
      <c r="N816"/>
      <c r="O816"/>
    </row>
    <row r="817" spans="9:15" x14ac:dyDescent="0.25">
      <c r="I817"/>
      <c r="J817"/>
      <c r="K817"/>
      <c r="L817"/>
      <c r="M817"/>
      <c r="N817"/>
      <c r="O817"/>
    </row>
    <row r="818" spans="9:15" x14ac:dyDescent="0.25">
      <c r="I818"/>
      <c r="J818"/>
      <c r="K818"/>
      <c r="L818"/>
      <c r="M818"/>
      <c r="N818"/>
      <c r="O818"/>
    </row>
    <row r="819" spans="9:15" x14ac:dyDescent="0.25">
      <c r="I819"/>
      <c r="J819"/>
      <c r="K819"/>
      <c r="L819"/>
      <c r="M819"/>
      <c r="N819"/>
      <c r="O819"/>
    </row>
    <row r="820" spans="9:15" x14ac:dyDescent="0.25">
      <c r="I820"/>
      <c r="J820"/>
      <c r="K820"/>
      <c r="L820"/>
      <c r="M820"/>
      <c r="N820"/>
      <c r="O820"/>
    </row>
    <row r="821" spans="9:15" x14ac:dyDescent="0.25">
      <c r="I821"/>
      <c r="J821"/>
      <c r="K821"/>
      <c r="L821"/>
      <c r="M821"/>
      <c r="N821"/>
      <c r="O821"/>
    </row>
    <row r="822" spans="9:15" x14ac:dyDescent="0.25">
      <c r="I822"/>
      <c r="J822"/>
      <c r="K822"/>
      <c r="L822"/>
      <c r="M822"/>
      <c r="N822"/>
      <c r="O822"/>
    </row>
    <row r="823" spans="9:15" x14ac:dyDescent="0.25">
      <c r="I823"/>
      <c r="J823"/>
      <c r="K823"/>
      <c r="L823"/>
      <c r="M823"/>
      <c r="N823"/>
      <c r="O823"/>
    </row>
    <row r="824" spans="9:15" x14ac:dyDescent="0.25">
      <c r="I824"/>
      <c r="J824"/>
      <c r="K824"/>
      <c r="L824"/>
      <c r="M824"/>
      <c r="N824"/>
      <c r="O824"/>
    </row>
    <row r="825" spans="9:15" x14ac:dyDescent="0.25">
      <c r="I825"/>
      <c r="J825"/>
      <c r="K825"/>
      <c r="L825"/>
      <c r="M825"/>
      <c r="N825"/>
      <c r="O825"/>
    </row>
    <row r="826" spans="9:15" x14ac:dyDescent="0.25">
      <c r="I826"/>
      <c r="J826"/>
      <c r="K826"/>
      <c r="L826"/>
      <c r="M826"/>
      <c r="N826"/>
      <c r="O826"/>
    </row>
    <row r="827" spans="9:15" x14ac:dyDescent="0.25">
      <c r="I827"/>
      <c r="J827"/>
      <c r="K827"/>
      <c r="L827"/>
      <c r="M827"/>
      <c r="N827"/>
      <c r="O827"/>
    </row>
    <row r="828" spans="9:15" x14ac:dyDescent="0.25">
      <c r="I828"/>
      <c r="J828"/>
      <c r="K828"/>
      <c r="L828"/>
      <c r="M828"/>
      <c r="N828"/>
      <c r="O828"/>
    </row>
    <row r="829" spans="9:15" x14ac:dyDescent="0.25">
      <c r="I829"/>
      <c r="J829"/>
      <c r="K829"/>
      <c r="L829"/>
      <c r="M829"/>
      <c r="N829"/>
      <c r="O829"/>
    </row>
    <row r="830" spans="9:15" x14ac:dyDescent="0.25">
      <c r="I830"/>
      <c r="J830"/>
      <c r="K830"/>
      <c r="L830"/>
      <c r="M830"/>
      <c r="N830"/>
      <c r="O830"/>
    </row>
    <row r="831" spans="9:15" x14ac:dyDescent="0.25">
      <c r="I831"/>
      <c r="J831"/>
      <c r="K831"/>
      <c r="L831"/>
      <c r="M831"/>
      <c r="N831"/>
      <c r="O831"/>
    </row>
    <row r="832" spans="9:15" x14ac:dyDescent="0.25">
      <c r="I832"/>
      <c r="J832"/>
      <c r="K832"/>
      <c r="L832"/>
      <c r="M832"/>
      <c r="N832"/>
      <c r="O832"/>
    </row>
    <row r="833" spans="9:15" x14ac:dyDescent="0.25">
      <c r="I833"/>
      <c r="J833"/>
      <c r="K833"/>
      <c r="L833"/>
      <c r="M833"/>
      <c r="N833"/>
      <c r="O833"/>
    </row>
    <row r="834" spans="9:15" x14ac:dyDescent="0.25">
      <c r="I834"/>
      <c r="J834"/>
      <c r="K834"/>
      <c r="L834"/>
      <c r="M834"/>
      <c r="N834"/>
      <c r="O834"/>
    </row>
    <row r="835" spans="9:15" x14ac:dyDescent="0.25">
      <c r="I835"/>
      <c r="J835"/>
      <c r="K835"/>
      <c r="L835"/>
      <c r="M835"/>
      <c r="N835"/>
      <c r="O835"/>
    </row>
    <row r="836" spans="9:15" x14ac:dyDescent="0.25">
      <c r="I836"/>
      <c r="J836"/>
      <c r="K836"/>
      <c r="L836"/>
      <c r="M836"/>
      <c r="N836"/>
      <c r="O836"/>
    </row>
    <row r="837" spans="9:15" x14ac:dyDescent="0.25">
      <c r="I837"/>
      <c r="J837"/>
      <c r="K837"/>
      <c r="L837"/>
      <c r="M837"/>
      <c r="N837"/>
      <c r="O837"/>
    </row>
    <row r="838" spans="9:15" x14ac:dyDescent="0.25">
      <c r="I838"/>
      <c r="J838"/>
      <c r="K838"/>
      <c r="L838"/>
      <c r="M838"/>
      <c r="N838"/>
      <c r="O838"/>
    </row>
    <row r="839" spans="9:15" x14ac:dyDescent="0.25">
      <c r="I839"/>
      <c r="J839"/>
      <c r="K839"/>
      <c r="L839"/>
      <c r="M839"/>
      <c r="N839"/>
      <c r="O839"/>
    </row>
    <row r="840" spans="9:15" x14ac:dyDescent="0.25">
      <c r="I840"/>
      <c r="J840"/>
      <c r="K840"/>
      <c r="L840"/>
      <c r="M840"/>
      <c r="N840"/>
      <c r="O840"/>
    </row>
    <row r="841" spans="9:15" x14ac:dyDescent="0.25">
      <c r="I841"/>
      <c r="J841"/>
      <c r="K841"/>
      <c r="L841"/>
      <c r="M841"/>
      <c r="N841"/>
      <c r="O841"/>
    </row>
    <row r="842" spans="9:15" x14ac:dyDescent="0.25">
      <c r="I842"/>
      <c r="J842"/>
      <c r="K842"/>
      <c r="L842"/>
      <c r="M842"/>
      <c r="N842"/>
      <c r="O842"/>
    </row>
    <row r="843" spans="9:15" x14ac:dyDescent="0.25">
      <c r="I843"/>
      <c r="J843"/>
      <c r="K843"/>
      <c r="L843"/>
      <c r="M843"/>
      <c r="N843"/>
      <c r="O843"/>
    </row>
    <row r="844" spans="9:15" x14ac:dyDescent="0.25">
      <c r="I844"/>
      <c r="J844"/>
      <c r="K844"/>
      <c r="L844"/>
      <c r="M844"/>
      <c r="N844"/>
      <c r="O844"/>
    </row>
    <row r="845" spans="9:15" x14ac:dyDescent="0.25">
      <c r="I845"/>
      <c r="J845"/>
      <c r="K845"/>
      <c r="L845"/>
      <c r="M845"/>
      <c r="N845"/>
      <c r="O845"/>
    </row>
    <row r="846" spans="9:15" x14ac:dyDescent="0.25">
      <c r="I846"/>
      <c r="J846"/>
      <c r="K846"/>
      <c r="L846"/>
      <c r="M846"/>
      <c r="N846"/>
      <c r="O846"/>
    </row>
    <row r="847" spans="9:15" x14ac:dyDescent="0.25">
      <c r="I847"/>
      <c r="J847"/>
      <c r="K847"/>
      <c r="L847"/>
      <c r="M847"/>
      <c r="N847"/>
      <c r="O847"/>
    </row>
    <row r="848" spans="9:15" x14ac:dyDescent="0.25">
      <c r="I848"/>
      <c r="J848"/>
      <c r="K848"/>
      <c r="L848"/>
      <c r="M848"/>
      <c r="N848"/>
      <c r="O848"/>
    </row>
    <row r="849" spans="9:15" x14ac:dyDescent="0.25">
      <c r="I849"/>
      <c r="J849"/>
      <c r="K849"/>
      <c r="L849"/>
      <c r="M849"/>
      <c r="N849"/>
      <c r="O849"/>
    </row>
    <row r="850" spans="9:15" x14ac:dyDescent="0.25">
      <c r="I850"/>
      <c r="J850"/>
      <c r="K850"/>
      <c r="L850"/>
      <c r="M850"/>
      <c r="N850"/>
      <c r="O850"/>
    </row>
    <row r="851" spans="9:15" x14ac:dyDescent="0.25">
      <c r="I851"/>
      <c r="J851"/>
      <c r="K851"/>
      <c r="L851"/>
      <c r="M851"/>
      <c r="N851"/>
      <c r="O851"/>
    </row>
    <row r="852" spans="9:15" x14ac:dyDescent="0.25">
      <c r="I852"/>
      <c r="J852"/>
      <c r="K852"/>
      <c r="L852"/>
      <c r="M852"/>
      <c r="N852"/>
      <c r="O852"/>
    </row>
    <row r="853" spans="9:15" x14ac:dyDescent="0.25">
      <c r="I853"/>
      <c r="J853"/>
      <c r="K853"/>
      <c r="L853"/>
      <c r="M853"/>
      <c r="N853"/>
      <c r="O853"/>
    </row>
    <row r="854" spans="9:15" x14ac:dyDescent="0.25">
      <c r="I854"/>
      <c r="J854"/>
      <c r="K854"/>
      <c r="L854"/>
      <c r="M854"/>
      <c r="N854"/>
      <c r="O854"/>
    </row>
    <row r="855" spans="9:15" x14ac:dyDescent="0.25">
      <c r="I855"/>
      <c r="J855"/>
      <c r="K855"/>
      <c r="L855"/>
      <c r="M855"/>
      <c r="N855"/>
      <c r="O855"/>
    </row>
    <row r="856" spans="9:15" x14ac:dyDescent="0.25">
      <c r="I856"/>
      <c r="J856"/>
      <c r="K856"/>
      <c r="L856"/>
      <c r="M856"/>
      <c r="N856"/>
      <c r="O856"/>
    </row>
    <row r="857" spans="9:15" x14ac:dyDescent="0.25">
      <c r="I857"/>
      <c r="J857"/>
      <c r="K857"/>
      <c r="L857"/>
      <c r="M857"/>
      <c r="N857"/>
      <c r="O857"/>
    </row>
    <row r="858" spans="9:15" x14ac:dyDescent="0.25">
      <c r="I858"/>
      <c r="J858"/>
      <c r="K858"/>
      <c r="L858"/>
      <c r="M858"/>
      <c r="N858"/>
      <c r="O858"/>
    </row>
    <row r="859" spans="9:15" x14ac:dyDescent="0.25">
      <c r="I859"/>
      <c r="J859"/>
      <c r="K859"/>
      <c r="L859"/>
      <c r="M859"/>
      <c r="N859"/>
      <c r="O859"/>
    </row>
    <row r="860" spans="9:15" x14ac:dyDescent="0.25">
      <c r="I860"/>
      <c r="J860"/>
      <c r="K860"/>
      <c r="L860"/>
      <c r="M860"/>
      <c r="N860"/>
      <c r="O860"/>
    </row>
    <row r="861" spans="9:15" x14ac:dyDescent="0.25">
      <c r="I861"/>
      <c r="J861"/>
      <c r="K861"/>
      <c r="L861"/>
      <c r="M861"/>
      <c r="N861"/>
      <c r="O861"/>
    </row>
    <row r="862" spans="9:15" x14ac:dyDescent="0.25">
      <c r="I862"/>
      <c r="J862"/>
      <c r="K862"/>
      <c r="L862"/>
      <c r="M862"/>
      <c r="N862"/>
      <c r="O862"/>
    </row>
    <row r="863" spans="9:15" x14ac:dyDescent="0.25">
      <c r="I863"/>
      <c r="J863"/>
      <c r="K863"/>
      <c r="L863"/>
      <c r="M863"/>
      <c r="N863"/>
      <c r="O863"/>
    </row>
    <row r="864" spans="9:15" x14ac:dyDescent="0.25">
      <c r="I864"/>
      <c r="J864"/>
      <c r="K864"/>
      <c r="L864"/>
      <c r="M864"/>
      <c r="N864"/>
      <c r="O864"/>
    </row>
    <row r="865" spans="9:15" x14ac:dyDescent="0.25">
      <c r="I865"/>
      <c r="J865"/>
      <c r="K865"/>
      <c r="L865"/>
      <c r="M865"/>
      <c r="N865"/>
      <c r="O865"/>
    </row>
    <row r="866" spans="9:15" x14ac:dyDescent="0.25">
      <c r="I866"/>
      <c r="J866"/>
      <c r="K866"/>
      <c r="L866"/>
      <c r="M866"/>
      <c r="N866"/>
      <c r="O866"/>
    </row>
    <row r="867" spans="9:15" x14ac:dyDescent="0.25">
      <c r="I867"/>
      <c r="J867"/>
      <c r="K867"/>
      <c r="L867"/>
      <c r="M867"/>
      <c r="N867"/>
      <c r="O867"/>
    </row>
    <row r="868" spans="9:15" x14ac:dyDescent="0.25">
      <c r="I868"/>
      <c r="J868"/>
      <c r="K868"/>
      <c r="L868"/>
      <c r="M868"/>
      <c r="N868"/>
      <c r="O868"/>
    </row>
    <row r="869" spans="9:15" x14ac:dyDescent="0.25">
      <c r="I869"/>
      <c r="J869"/>
      <c r="K869"/>
      <c r="L869"/>
      <c r="M869"/>
      <c r="N869"/>
      <c r="O869"/>
    </row>
    <row r="870" spans="9:15" x14ac:dyDescent="0.25">
      <c r="I870"/>
      <c r="J870"/>
      <c r="K870"/>
      <c r="L870"/>
      <c r="M870"/>
      <c r="N870"/>
      <c r="O870"/>
    </row>
    <row r="871" spans="9:15" x14ac:dyDescent="0.25">
      <c r="I871"/>
      <c r="J871"/>
      <c r="K871"/>
      <c r="L871"/>
      <c r="M871"/>
      <c r="N871"/>
      <c r="O871"/>
    </row>
    <row r="872" spans="9:15" x14ac:dyDescent="0.25">
      <c r="I872"/>
      <c r="J872"/>
      <c r="K872"/>
      <c r="L872"/>
      <c r="M872"/>
      <c r="N872"/>
      <c r="O872"/>
    </row>
    <row r="873" spans="9:15" x14ac:dyDescent="0.25">
      <c r="I873"/>
      <c r="J873"/>
      <c r="K873"/>
      <c r="L873"/>
      <c r="M873"/>
      <c r="N873"/>
      <c r="O873"/>
    </row>
    <row r="874" spans="9:15" x14ac:dyDescent="0.25">
      <c r="I874"/>
      <c r="J874"/>
      <c r="K874"/>
      <c r="L874"/>
      <c r="M874"/>
      <c r="N874"/>
      <c r="O874"/>
    </row>
    <row r="875" spans="9:15" x14ac:dyDescent="0.25">
      <c r="I875"/>
      <c r="J875"/>
      <c r="K875"/>
      <c r="L875"/>
      <c r="M875"/>
      <c r="N875"/>
      <c r="O875"/>
    </row>
    <row r="876" spans="9:15" x14ac:dyDescent="0.25">
      <c r="I876"/>
      <c r="J876"/>
      <c r="K876"/>
      <c r="L876"/>
      <c r="M876"/>
      <c r="N876"/>
      <c r="O876"/>
    </row>
    <row r="877" spans="9:15" x14ac:dyDescent="0.25">
      <c r="I877"/>
      <c r="J877"/>
      <c r="K877"/>
      <c r="L877"/>
      <c r="M877"/>
      <c r="N877"/>
      <c r="O877"/>
    </row>
    <row r="878" spans="9:15" x14ac:dyDescent="0.25">
      <c r="I878"/>
      <c r="J878"/>
      <c r="K878"/>
      <c r="L878"/>
      <c r="M878"/>
      <c r="N878"/>
      <c r="O878"/>
    </row>
    <row r="879" spans="9:15" x14ac:dyDescent="0.25">
      <c r="I879"/>
      <c r="J879"/>
      <c r="K879"/>
      <c r="L879"/>
      <c r="M879"/>
      <c r="N879"/>
      <c r="O879"/>
    </row>
    <row r="880" spans="9:15" x14ac:dyDescent="0.25">
      <c r="I880"/>
      <c r="J880"/>
      <c r="K880"/>
      <c r="L880"/>
      <c r="M880"/>
      <c r="N880"/>
      <c r="O880"/>
    </row>
    <row r="881" spans="9:15" x14ac:dyDescent="0.25">
      <c r="I881"/>
      <c r="J881"/>
      <c r="K881"/>
      <c r="L881"/>
      <c r="M881"/>
      <c r="N881"/>
      <c r="O881"/>
    </row>
    <row r="882" spans="9:15" x14ac:dyDescent="0.25">
      <c r="I882"/>
      <c r="J882"/>
      <c r="K882"/>
      <c r="L882"/>
      <c r="M882"/>
      <c r="N882"/>
      <c r="O882"/>
    </row>
    <row r="883" spans="9:15" x14ac:dyDescent="0.25">
      <c r="I883"/>
      <c r="J883"/>
      <c r="K883"/>
      <c r="L883"/>
      <c r="M883"/>
      <c r="N883"/>
      <c r="O883"/>
    </row>
    <row r="884" spans="9:15" x14ac:dyDescent="0.25">
      <c r="I884"/>
      <c r="J884"/>
      <c r="K884"/>
      <c r="L884"/>
      <c r="M884"/>
      <c r="N884"/>
      <c r="O884"/>
    </row>
    <row r="885" spans="9:15" x14ac:dyDescent="0.25">
      <c r="I885"/>
      <c r="J885"/>
      <c r="K885"/>
      <c r="L885"/>
      <c r="M885"/>
      <c r="N885"/>
      <c r="O885"/>
    </row>
    <row r="886" spans="9:15" x14ac:dyDescent="0.25">
      <c r="I886"/>
      <c r="J886"/>
      <c r="K886"/>
      <c r="L886"/>
      <c r="M886"/>
      <c r="N886"/>
      <c r="O886"/>
    </row>
    <row r="887" spans="9:15" x14ac:dyDescent="0.25">
      <c r="I887"/>
      <c r="J887"/>
      <c r="K887"/>
      <c r="L887"/>
      <c r="M887"/>
      <c r="N887"/>
      <c r="O887"/>
    </row>
    <row r="888" spans="9:15" x14ac:dyDescent="0.25">
      <c r="I888"/>
      <c r="J888"/>
      <c r="K888"/>
      <c r="L888"/>
      <c r="M888"/>
      <c r="N888"/>
      <c r="O888"/>
    </row>
    <row r="889" spans="9:15" x14ac:dyDescent="0.25">
      <c r="I889"/>
      <c r="J889"/>
      <c r="K889"/>
      <c r="L889"/>
      <c r="M889"/>
      <c r="N889"/>
      <c r="O889"/>
    </row>
    <row r="890" spans="9:15" x14ac:dyDescent="0.25">
      <c r="I890"/>
      <c r="J890"/>
      <c r="K890"/>
      <c r="L890"/>
      <c r="M890"/>
      <c r="N890"/>
      <c r="O890"/>
    </row>
    <row r="891" spans="9:15" x14ac:dyDescent="0.25">
      <c r="I891"/>
      <c r="J891"/>
      <c r="K891"/>
      <c r="L891"/>
      <c r="M891"/>
      <c r="N891"/>
      <c r="O891"/>
    </row>
    <row r="892" spans="9:15" x14ac:dyDescent="0.25">
      <c r="I892"/>
      <c r="J892"/>
      <c r="K892"/>
      <c r="L892"/>
      <c r="M892"/>
      <c r="N892"/>
      <c r="O892"/>
    </row>
    <row r="893" spans="9:15" x14ac:dyDescent="0.25">
      <c r="I893"/>
      <c r="J893"/>
      <c r="K893"/>
      <c r="L893"/>
      <c r="M893"/>
      <c r="N893"/>
      <c r="O893"/>
    </row>
    <row r="894" spans="9:15" x14ac:dyDescent="0.25">
      <c r="I894"/>
      <c r="J894"/>
      <c r="K894"/>
      <c r="L894"/>
      <c r="M894"/>
      <c r="N894"/>
      <c r="O894"/>
    </row>
    <row r="895" spans="9:15" x14ac:dyDescent="0.25">
      <c r="I895"/>
      <c r="J895"/>
      <c r="K895"/>
      <c r="L895"/>
      <c r="M895"/>
      <c r="N895"/>
      <c r="O895"/>
    </row>
    <row r="896" spans="9:15" x14ac:dyDescent="0.25">
      <c r="I896"/>
      <c r="J896"/>
      <c r="K896"/>
      <c r="L896"/>
      <c r="M896"/>
      <c r="N896"/>
      <c r="O896"/>
    </row>
    <row r="897" spans="9:15" x14ac:dyDescent="0.25">
      <c r="I897"/>
      <c r="J897"/>
      <c r="K897"/>
      <c r="L897"/>
      <c r="M897"/>
      <c r="N897"/>
      <c r="O897"/>
    </row>
    <row r="898" spans="9:15" x14ac:dyDescent="0.25">
      <c r="I898"/>
      <c r="J898"/>
      <c r="K898"/>
      <c r="L898"/>
      <c r="M898"/>
      <c r="N898"/>
      <c r="O898"/>
    </row>
    <row r="899" spans="9:15" x14ac:dyDescent="0.25">
      <c r="I899"/>
      <c r="J899"/>
      <c r="K899"/>
      <c r="L899"/>
      <c r="M899"/>
      <c r="N899"/>
      <c r="O899"/>
    </row>
    <row r="900" spans="9:15" x14ac:dyDescent="0.25">
      <c r="I900"/>
      <c r="J900"/>
      <c r="K900"/>
      <c r="L900"/>
      <c r="M900"/>
      <c r="N900"/>
      <c r="O900"/>
    </row>
    <row r="901" spans="9:15" x14ac:dyDescent="0.25">
      <c r="I901"/>
      <c r="J901"/>
      <c r="K901"/>
      <c r="L901"/>
      <c r="M901"/>
      <c r="N901"/>
      <c r="O901"/>
    </row>
    <row r="902" spans="9:15" x14ac:dyDescent="0.25">
      <c r="I902"/>
      <c r="J902"/>
      <c r="K902"/>
      <c r="L902"/>
      <c r="M902"/>
      <c r="N902"/>
      <c r="O902"/>
    </row>
    <row r="903" spans="9:15" x14ac:dyDescent="0.25">
      <c r="I903"/>
      <c r="J903"/>
      <c r="K903"/>
      <c r="L903"/>
      <c r="M903"/>
      <c r="N903"/>
      <c r="O903"/>
    </row>
    <row r="904" spans="9:15" x14ac:dyDescent="0.25">
      <c r="I904"/>
      <c r="J904"/>
      <c r="K904"/>
      <c r="L904"/>
      <c r="M904"/>
      <c r="N904"/>
      <c r="O904"/>
    </row>
    <row r="905" spans="9:15" x14ac:dyDescent="0.25">
      <c r="I905"/>
      <c r="J905"/>
      <c r="K905"/>
      <c r="L905"/>
      <c r="M905"/>
      <c r="N905"/>
      <c r="O905"/>
    </row>
    <row r="906" spans="9:15" x14ac:dyDescent="0.25">
      <c r="I906"/>
      <c r="J906"/>
      <c r="K906"/>
      <c r="L906"/>
      <c r="M906"/>
      <c r="N906"/>
      <c r="O906"/>
    </row>
    <row r="907" spans="9:15" x14ac:dyDescent="0.25">
      <c r="I907"/>
      <c r="J907"/>
      <c r="K907"/>
      <c r="L907"/>
      <c r="M907"/>
      <c r="N907"/>
      <c r="O907"/>
    </row>
    <row r="908" spans="9:15" x14ac:dyDescent="0.25">
      <c r="I908"/>
      <c r="J908"/>
      <c r="K908"/>
      <c r="L908"/>
      <c r="M908"/>
      <c r="N908"/>
      <c r="O908"/>
    </row>
    <row r="909" spans="9:15" x14ac:dyDescent="0.25">
      <c r="I909"/>
      <c r="J909"/>
      <c r="K909"/>
      <c r="L909"/>
      <c r="M909"/>
      <c r="N909"/>
      <c r="O909"/>
    </row>
    <row r="910" spans="9:15" x14ac:dyDescent="0.25">
      <c r="I910"/>
      <c r="J910"/>
      <c r="K910"/>
      <c r="L910"/>
      <c r="M910"/>
      <c r="N910"/>
      <c r="O910"/>
    </row>
    <row r="911" spans="9:15" x14ac:dyDescent="0.25">
      <c r="I911"/>
      <c r="J911"/>
      <c r="K911"/>
      <c r="L911"/>
      <c r="M911"/>
      <c r="N911"/>
      <c r="O911"/>
    </row>
    <row r="912" spans="9:15" x14ac:dyDescent="0.25">
      <c r="I912"/>
      <c r="J912"/>
      <c r="K912"/>
      <c r="L912"/>
      <c r="M912"/>
      <c r="N912"/>
      <c r="O912"/>
    </row>
    <row r="913" spans="9:15" x14ac:dyDescent="0.25">
      <c r="I913"/>
      <c r="J913"/>
      <c r="K913"/>
      <c r="L913"/>
      <c r="M913"/>
      <c r="N913"/>
      <c r="O913"/>
    </row>
    <row r="914" spans="9:15" x14ac:dyDescent="0.25">
      <c r="I914"/>
      <c r="J914"/>
      <c r="K914"/>
      <c r="L914"/>
      <c r="M914"/>
      <c r="N914"/>
      <c r="O914"/>
    </row>
    <row r="915" spans="9:15" x14ac:dyDescent="0.25">
      <c r="I915"/>
      <c r="J915"/>
      <c r="K915"/>
      <c r="L915"/>
      <c r="M915"/>
      <c r="N915"/>
      <c r="O915"/>
    </row>
    <row r="916" spans="9:15" x14ac:dyDescent="0.25">
      <c r="I916"/>
      <c r="J916"/>
      <c r="K916"/>
      <c r="L916"/>
      <c r="M916"/>
      <c r="N916"/>
      <c r="O916"/>
    </row>
    <row r="917" spans="9:15" x14ac:dyDescent="0.25">
      <c r="I917"/>
      <c r="J917"/>
      <c r="K917"/>
      <c r="L917"/>
      <c r="M917"/>
      <c r="N917"/>
      <c r="O917"/>
    </row>
    <row r="918" spans="9:15" x14ac:dyDescent="0.25">
      <c r="I918"/>
      <c r="J918"/>
      <c r="K918"/>
      <c r="L918"/>
      <c r="M918"/>
      <c r="N918"/>
      <c r="O918"/>
    </row>
    <row r="919" spans="9:15" x14ac:dyDescent="0.25">
      <c r="I919"/>
      <c r="J919"/>
      <c r="K919"/>
      <c r="L919"/>
      <c r="M919"/>
      <c r="N919"/>
      <c r="O919"/>
    </row>
    <row r="920" spans="9:15" x14ac:dyDescent="0.25">
      <c r="I920"/>
      <c r="J920"/>
      <c r="K920"/>
      <c r="L920"/>
      <c r="M920"/>
      <c r="N920"/>
      <c r="O920"/>
    </row>
    <row r="921" spans="9:15" x14ac:dyDescent="0.25">
      <c r="I921"/>
      <c r="J921"/>
      <c r="K921"/>
      <c r="L921"/>
      <c r="M921"/>
      <c r="N921"/>
      <c r="O921"/>
    </row>
    <row r="922" spans="9:15" x14ac:dyDescent="0.25">
      <c r="I922"/>
      <c r="J922"/>
      <c r="K922"/>
      <c r="L922"/>
      <c r="M922"/>
      <c r="N922"/>
      <c r="O922"/>
    </row>
    <row r="923" spans="9:15" x14ac:dyDescent="0.25">
      <c r="I923"/>
      <c r="J923"/>
      <c r="K923"/>
      <c r="L923"/>
      <c r="M923"/>
      <c r="N923"/>
      <c r="O923"/>
    </row>
    <row r="924" spans="9:15" x14ac:dyDescent="0.25">
      <c r="I924"/>
      <c r="J924"/>
      <c r="K924"/>
      <c r="L924"/>
      <c r="M924"/>
      <c r="N924"/>
      <c r="O924"/>
    </row>
    <row r="925" spans="9:15" x14ac:dyDescent="0.25">
      <c r="I925"/>
      <c r="J925"/>
      <c r="K925"/>
      <c r="L925"/>
      <c r="M925"/>
      <c r="N925"/>
      <c r="O925"/>
    </row>
    <row r="926" spans="9:15" x14ac:dyDescent="0.25">
      <c r="I926"/>
      <c r="J926"/>
      <c r="K926"/>
      <c r="L926"/>
      <c r="M926"/>
      <c r="N926"/>
      <c r="O926"/>
    </row>
    <row r="927" spans="9:15" x14ac:dyDescent="0.25">
      <c r="I927"/>
      <c r="J927"/>
      <c r="K927"/>
      <c r="L927"/>
      <c r="M927"/>
      <c r="N927"/>
      <c r="O927"/>
    </row>
    <row r="928" spans="9:15" x14ac:dyDescent="0.25">
      <c r="I928"/>
      <c r="J928"/>
      <c r="K928"/>
      <c r="L928"/>
      <c r="M928"/>
      <c r="N928"/>
      <c r="O928"/>
    </row>
    <row r="929" spans="9:15" x14ac:dyDescent="0.25">
      <c r="I929"/>
      <c r="J929"/>
      <c r="K929"/>
      <c r="L929"/>
      <c r="M929"/>
      <c r="N929"/>
      <c r="O929"/>
    </row>
    <row r="930" spans="9:15" x14ac:dyDescent="0.25">
      <c r="I930"/>
      <c r="J930"/>
      <c r="K930"/>
      <c r="L930"/>
      <c r="M930"/>
      <c r="N930"/>
      <c r="O930"/>
    </row>
    <row r="931" spans="9:15" x14ac:dyDescent="0.25">
      <c r="I931"/>
      <c r="J931"/>
      <c r="K931"/>
      <c r="L931"/>
      <c r="M931"/>
      <c r="N931"/>
      <c r="O931"/>
    </row>
    <row r="932" spans="9:15" x14ac:dyDescent="0.25">
      <c r="I932"/>
      <c r="J932"/>
      <c r="K932"/>
      <c r="L932"/>
      <c r="M932"/>
      <c r="N932"/>
      <c r="O932"/>
    </row>
    <row r="933" spans="9:15" x14ac:dyDescent="0.25">
      <c r="I933"/>
      <c r="J933"/>
      <c r="K933"/>
      <c r="L933"/>
      <c r="M933"/>
      <c r="N933"/>
      <c r="O933"/>
    </row>
    <row r="934" spans="9:15" x14ac:dyDescent="0.25">
      <c r="I934"/>
      <c r="J934"/>
      <c r="K934"/>
      <c r="L934"/>
      <c r="M934"/>
      <c r="N934"/>
      <c r="O934"/>
    </row>
    <row r="935" spans="9:15" x14ac:dyDescent="0.25">
      <c r="I935"/>
      <c r="J935"/>
      <c r="K935"/>
      <c r="L935"/>
      <c r="M935"/>
      <c r="N935"/>
      <c r="O935"/>
    </row>
    <row r="936" spans="9:15" x14ac:dyDescent="0.25">
      <c r="I936"/>
      <c r="J936"/>
      <c r="K936"/>
      <c r="L936"/>
      <c r="M936"/>
      <c r="N936"/>
      <c r="O936"/>
    </row>
    <row r="937" spans="9:15" x14ac:dyDescent="0.25">
      <c r="I937"/>
      <c r="J937"/>
      <c r="K937"/>
      <c r="L937"/>
      <c r="M937"/>
      <c r="N937"/>
      <c r="O937"/>
    </row>
    <row r="938" spans="9:15" x14ac:dyDescent="0.25">
      <c r="I938"/>
      <c r="J938"/>
      <c r="K938"/>
      <c r="L938"/>
      <c r="M938"/>
      <c r="N938"/>
      <c r="O938"/>
    </row>
    <row r="939" spans="9:15" x14ac:dyDescent="0.25">
      <c r="I939"/>
      <c r="J939"/>
      <c r="K939"/>
      <c r="L939"/>
      <c r="M939"/>
      <c r="N939"/>
      <c r="O939"/>
    </row>
    <row r="940" spans="9:15" x14ac:dyDescent="0.25">
      <c r="I940"/>
      <c r="J940"/>
      <c r="K940"/>
      <c r="L940"/>
      <c r="M940"/>
      <c r="N940"/>
      <c r="O940"/>
    </row>
    <row r="941" spans="9:15" x14ac:dyDescent="0.25">
      <c r="I941"/>
      <c r="J941"/>
      <c r="K941"/>
      <c r="L941"/>
      <c r="M941"/>
      <c r="N941"/>
      <c r="O941"/>
    </row>
    <row r="942" spans="9:15" x14ac:dyDescent="0.25">
      <c r="I942"/>
      <c r="J942"/>
      <c r="K942"/>
      <c r="L942"/>
      <c r="M942"/>
      <c r="N942"/>
      <c r="O942"/>
    </row>
    <row r="943" spans="9:15" x14ac:dyDescent="0.25">
      <c r="I943"/>
      <c r="J943"/>
      <c r="K943"/>
      <c r="L943"/>
      <c r="M943"/>
      <c r="N943"/>
      <c r="O943"/>
    </row>
    <row r="944" spans="9:15" x14ac:dyDescent="0.25">
      <c r="I944"/>
      <c r="J944"/>
      <c r="K944"/>
      <c r="L944"/>
      <c r="M944"/>
      <c r="N944"/>
      <c r="O944"/>
    </row>
    <row r="945" spans="9:15" x14ac:dyDescent="0.25">
      <c r="I945"/>
      <c r="J945"/>
      <c r="K945"/>
      <c r="L945"/>
      <c r="M945"/>
      <c r="N945"/>
      <c r="O945"/>
    </row>
    <row r="946" spans="9:15" x14ac:dyDescent="0.25">
      <c r="I946"/>
      <c r="J946"/>
      <c r="K946"/>
      <c r="L946"/>
      <c r="M946"/>
      <c r="N946"/>
      <c r="O946"/>
    </row>
    <row r="947" spans="9:15" x14ac:dyDescent="0.25">
      <c r="I947"/>
      <c r="J947"/>
      <c r="K947"/>
      <c r="L947"/>
      <c r="M947"/>
      <c r="N947"/>
      <c r="O947"/>
    </row>
    <row r="948" spans="9:15" x14ac:dyDescent="0.25">
      <c r="I948"/>
      <c r="J948"/>
      <c r="K948"/>
      <c r="L948"/>
      <c r="M948"/>
      <c r="N948"/>
      <c r="O948"/>
    </row>
    <row r="949" spans="9:15" x14ac:dyDescent="0.25">
      <c r="I949"/>
      <c r="J949"/>
      <c r="K949"/>
      <c r="L949"/>
      <c r="M949"/>
      <c r="N949"/>
      <c r="O949"/>
    </row>
    <row r="950" spans="9:15" x14ac:dyDescent="0.25">
      <c r="I950"/>
      <c r="J950"/>
      <c r="K950"/>
      <c r="L950"/>
      <c r="M950"/>
      <c r="N950"/>
      <c r="O950"/>
    </row>
    <row r="951" spans="9:15" x14ac:dyDescent="0.25">
      <c r="I951"/>
      <c r="J951"/>
      <c r="K951"/>
      <c r="L951"/>
      <c r="M951"/>
      <c r="N951"/>
      <c r="O951"/>
    </row>
    <row r="952" spans="9:15" x14ac:dyDescent="0.25">
      <c r="I952"/>
      <c r="J952"/>
      <c r="K952"/>
      <c r="L952"/>
      <c r="M952"/>
      <c r="N952"/>
      <c r="O952"/>
    </row>
    <row r="953" spans="9:15" x14ac:dyDescent="0.25">
      <c r="I953"/>
      <c r="J953"/>
      <c r="K953"/>
      <c r="L953"/>
      <c r="M953"/>
      <c r="N953"/>
      <c r="O953"/>
    </row>
    <row r="954" spans="9:15" x14ac:dyDescent="0.25">
      <c r="I954"/>
      <c r="J954"/>
      <c r="K954"/>
      <c r="L954"/>
      <c r="M954"/>
      <c r="N954"/>
      <c r="O954"/>
    </row>
    <row r="955" spans="9:15" x14ac:dyDescent="0.25">
      <c r="I955"/>
      <c r="J955"/>
      <c r="K955"/>
      <c r="L955"/>
      <c r="M955"/>
      <c r="N955"/>
      <c r="O955"/>
    </row>
    <row r="956" spans="9:15" x14ac:dyDescent="0.25">
      <c r="I956"/>
      <c r="J956"/>
      <c r="K956"/>
      <c r="L956"/>
      <c r="M956"/>
      <c r="N956"/>
      <c r="O956"/>
    </row>
    <row r="957" spans="9:15" x14ac:dyDescent="0.25">
      <c r="I957"/>
      <c r="J957"/>
      <c r="K957"/>
      <c r="L957"/>
      <c r="M957"/>
      <c r="N957"/>
      <c r="O957"/>
    </row>
    <row r="958" spans="9:15" x14ac:dyDescent="0.25">
      <c r="I958"/>
      <c r="J958"/>
      <c r="K958"/>
      <c r="L958"/>
      <c r="M958"/>
      <c r="N958"/>
      <c r="O958"/>
    </row>
    <row r="959" spans="9:15" x14ac:dyDescent="0.25">
      <c r="I959"/>
      <c r="J959"/>
      <c r="K959"/>
      <c r="L959"/>
      <c r="M959"/>
      <c r="N959"/>
      <c r="O959"/>
    </row>
    <row r="960" spans="9:15" x14ac:dyDescent="0.25">
      <c r="I960"/>
      <c r="J960"/>
      <c r="K960"/>
      <c r="L960"/>
      <c r="M960"/>
      <c r="N960"/>
      <c r="O960"/>
    </row>
    <row r="961" spans="9:15" x14ac:dyDescent="0.25">
      <c r="I961"/>
      <c r="J961"/>
      <c r="K961"/>
      <c r="L961"/>
      <c r="M961"/>
      <c r="N961"/>
      <c r="O961"/>
    </row>
    <row r="962" spans="9:15" x14ac:dyDescent="0.25">
      <c r="I962"/>
      <c r="J962"/>
      <c r="K962"/>
      <c r="L962"/>
      <c r="M962"/>
      <c r="N962"/>
      <c r="O962"/>
    </row>
    <row r="963" spans="9:15" x14ac:dyDescent="0.25">
      <c r="I963"/>
      <c r="J963"/>
      <c r="K963"/>
      <c r="L963"/>
      <c r="M963"/>
      <c r="N963"/>
      <c r="O963"/>
    </row>
    <row r="964" spans="9:15" x14ac:dyDescent="0.25">
      <c r="I964"/>
      <c r="J964"/>
      <c r="K964"/>
      <c r="L964"/>
      <c r="M964"/>
      <c r="N964"/>
      <c r="O964"/>
    </row>
    <row r="965" spans="9:15" x14ac:dyDescent="0.25">
      <c r="I965"/>
      <c r="J965"/>
      <c r="K965"/>
      <c r="L965"/>
      <c r="M965"/>
      <c r="N965"/>
      <c r="O965"/>
    </row>
    <row r="966" spans="9:15" x14ac:dyDescent="0.25">
      <c r="I966"/>
      <c r="J966"/>
      <c r="K966"/>
      <c r="L966"/>
      <c r="M966"/>
      <c r="N966"/>
      <c r="O966"/>
    </row>
    <row r="967" spans="9:15" x14ac:dyDescent="0.25">
      <c r="I967"/>
      <c r="J967"/>
      <c r="K967"/>
      <c r="L967"/>
      <c r="M967"/>
      <c r="N967"/>
      <c r="O967"/>
    </row>
    <row r="968" spans="9:15" x14ac:dyDescent="0.25">
      <c r="I968"/>
      <c r="J968"/>
      <c r="K968"/>
      <c r="L968"/>
      <c r="M968"/>
      <c r="N968"/>
      <c r="O968"/>
    </row>
    <row r="969" spans="9:15" x14ac:dyDescent="0.25">
      <c r="I969"/>
      <c r="J969"/>
      <c r="K969"/>
      <c r="L969"/>
      <c r="M969"/>
      <c r="N969"/>
      <c r="O969"/>
    </row>
    <row r="970" spans="9:15" x14ac:dyDescent="0.25">
      <c r="I970"/>
      <c r="J970"/>
      <c r="K970"/>
      <c r="L970"/>
      <c r="M970"/>
      <c r="N970"/>
      <c r="O970"/>
    </row>
    <row r="971" spans="9:15" x14ac:dyDescent="0.25">
      <c r="I971"/>
      <c r="J971"/>
      <c r="K971"/>
      <c r="L971"/>
      <c r="M971"/>
      <c r="N971"/>
      <c r="O971"/>
    </row>
    <row r="972" spans="9:15" x14ac:dyDescent="0.25">
      <c r="I972"/>
      <c r="J972"/>
      <c r="K972"/>
      <c r="L972"/>
      <c r="M972"/>
      <c r="N972"/>
      <c r="O972"/>
    </row>
    <row r="973" spans="9:15" x14ac:dyDescent="0.25">
      <c r="I973"/>
      <c r="J973"/>
      <c r="K973"/>
      <c r="L973"/>
      <c r="M973"/>
      <c r="N973"/>
      <c r="O973"/>
    </row>
    <row r="974" spans="9:15" x14ac:dyDescent="0.25">
      <c r="I974"/>
      <c r="J974"/>
      <c r="K974"/>
      <c r="L974"/>
      <c r="M974"/>
      <c r="N974"/>
      <c r="O974"/>
    </row>
    <row r="975" spans="9:15" x14ac:dyDescent="0.25">
      <c r="I975"/>
      <c r="J975"/>
      <c r="K975"/>
      <c r="L975"/>
      <c r="M975"/>
      <c r="N975"/>
      <c r="O975"/>
    </row>
    <row r="976" spans="9:15" x14ac:dyDescent="0.25">
      <c r="I976"/>
      <c r="J976"/>
      <c r="K976"/>
      <c r="L976"/>
      <c r="M976"/>
      <c r="N976"/>
      <c r="O976"/>
    </row>
    <row r="977" spans="9:15" x14ac:dyDescent="0.25">
      <c r="I977"/>
      <c r="J977"/>
      <c r="K977"/>
      <c r="L977"/>
      <c r="M977"/>
      <c r="N977"/>
      <c r="O977"/>
    </row>
    <row r="978" spans="9:15" x14ac:dyDescent="0.25">
      <c r="I978"/>
      <c r="J978"/>
      <c r="K978"/>
      <c r="L978"/>
      <c r="M978"/>
      <c r="N978"/>
      <c r="O978"/>
    </row>
    <row r="979" spans="9:15" x14ac:dyDescent="0.25">
      <c r="I979"/>
      <c r="J979"/>
      <c r="K979"/>
      <c r="L979"/>
      <c r="M979"/>
      <c r="N979"/>
      <c r="O979"/>
    </row>
    <row r="980" spans="9:15" x14ac:dyDescent="0.25">
      <c r="I980"/>
      <c r="J980"/>
      <c r="K980"/>
      <c r="L980"/>
      <c r="M980"/>
      <c r="N980"/>
      <c r="O980"/>
    </row>
    <row r="981" spans="9:15" x14ac:dyDescent="0.25">
      <c r="I981"/>
      <c r="J981"/>
      <c r="K981"/>
      <c r="L981"/>
      <c r="M981"/>
      <c r="N981"/>
      <c r="O981"/>
    </row>
    <row r="982" spans="9:15" x14ac:dyDescent="0.25">
      <c r="I982"/>
      <c r="J982"/>
      <c r="K982"/>
      <c r="L982"/>
      <c r="M982"/>
      <c r="N982"/>
      <c r="O982"/>
    </row>
    <row r="983" spans="9:15" x14ac:dyDescent="0.25">
      <c r="I983"/>
      <c r="J983"/>
      <c r="K983"/>
      <c r="L983"/>
      <c r="M983"/>
      <c r="N983"/>
      <c r="O983"/>
    </row>
    <row r="984" spans="9:15" x14ac:dyDescent="0.25">
      <c r="I984"/>
      <c r="J984"/>
      <c r="K984"/>
      <c r="L984"/>
      <c r="M984"/>
      <c r="N984"/>
      <c r="O984"/>
    </row>
    <row r="985" spans="9:15" x14ac:dyDescent="0.25">
      <c r="I985"/>
      <c r="J985"/>
      <c r="K985"/>
      <c r="L985"/>
      <c r="M985"/>
      <c r="N985"/>
      <c r="O985"/>
    </row>
    <row r="986" spans="9:15" x14ac:dyDescent="0.25">
      <c r="I986"/>
      <c r="J986"/>
      <c r="K986"/>
      <c r="L986"/>
      <c r="M986"/>
      <c r="N986"/>
      <c r="O986"/>
    </row>
    <row r="987" spans="9:15" x14ac:dyDescent="0.25">
      <c r="I987"/>
      <c r="J987"/>
      <c r="K987"/>
      <c r="L987"/>
      <c r="M987"/>
      <c r="N987"/>
      <c r="O987"/>
    </row>
    <row r="988" spans="9:15" x14ac:dyDescent="0.25">
      <c r="I988"/>
      <c r="J988"/>
      <c r="K988"/>
      <c r="L988"/>
      <c r="M988"/>
      <c r="N988"/>
      <c r="O988"/>
    </row>
    <row r="989" spans="9:15" x14ac:dyDescent="0.25">
      <c r="I989"/>
      <c r="J989"/>
      <c r="K989"/>
      <c r="L989"/>
      <c r="M989"/>
      <c r="N989"/>
      <c r="O989"/>
    </row>
    <row r="990" spans="9:15" x14ac:dyDescent="0.25">
      <c r="I990"/>
      <c r="J990"/>
      <c r="K990"/>
      <c r="L990"/>
      <c r="M990"/>
      <c r="N990"/>
      <c r="O990"/>
    </row>
    <row r="991" spans="9:15" x14ac:dyDescent="0.25">
      <c r="I991"/>
      <c r="J991"/>
      <c r="K991"/>
      <c r="L991"/>
      <c r="M991"/>
      <c r="N991"/>
      <c r="O991"/>
    </row>
    <row r="992" spans="9:15" x14ac:dyDescent="0.25">
      <c r="I992"/>
      <c r="J992"/>
      <c r="K992"/>
      <c r="L992"/>
      <c r="M992"/>
      <c r="N992"/>
      <c r="O992"/>
    </row>
    <row r="993" spans="9:15" x14ac:dyDescent="0.25">
      <c r="I993"/>
      <c r="J993"/>
      <c r="K993"/>
      <c r="L993"/>
      <c r="M993"/>
      <c r="N993"/>
      <c r="O993"/>
    </row>
    <row r="994" spans="9:15" x14ac:dyDescent="0.25">
      <c r="I994"/>
      <c r="J994"/>
      <c r="K994"/>
      <c r="L994"/>
      <c r="M994"/>
      <c r="N994"/>
      <c r="O994"/>
    </row>
    <row r="995" spans="9:15" x14ac:dyDescent="0.25">
      <c r="I995"/>
      <c r="J995"/>
      <c r="K995"/>
      <c r="L995"/>
      <c r="M995"/>
      <c r="N995"/>
      <c r="O995"/>
    </row>
    <row r="996" spans="9:15" x14ac:dyDescent="0.25">
      <c r="I996"/>
      <c r="J996"/>
      <c r="K996"/>
      <c r="L996"/>
      <c r="M996"/>
      <c r="N996"/>
      <c r="O996"/>
    </row>
    <row r="997" spans="9:15" x14ac:dyDescent="0.25">
      <c r="I997"/>
      <c r="J997"/>
      <c r="K997"/>
      <c r="L997"/>
      <c r="M997"/>
      <c r="N997"/>
      <c r="O997"/>
    </row>
    <row r="998" spans="9:15" x14ac:dyDescent="0.25">
      <c r="I998"/>
      <c r="J998"/>
      <c r="K998"/>
      <c r="L998"/>
      <c r="M998"/>
      <c r="N998"/>
      <c r="O998"/>
    </row>
    <row r="999" spans="9:15" x14ac:dyDescent="0.25">
      <c r="I999"/>
      <c r="J999"/>
      <c r="K999"/>
      <c r="L999"/>
      <c r="M999"/>
      <c r="N999"/>
      <c r="O999"/>
    </row>
    <row r="1000" spans="9:15" x14ac:dyDescent="0.25">
      <c r="I1000"/>
      <c r="J1000"/>
      <c r="K1000"/>
      <c r="L1000"/>
      <c r="M1000"/>
      <c r="N1000"/>
      <c r="O1000"/>
    </row>
    <row r="1001" spans="9:15" x14ac:dyDescent="0.25">
      <c r="I1001"/>
      <c r="J1001"/>
      <c r="K1001"/>
      <c r="L1001"/>
      <c r="M1001"/>
      <c r="N1001"/>
      <c r="O1001"/>
    </row>
    <row r="1002" spans="9:15" x14ac:dyDescent="0.25">
      <c r="I1002"/>
      <c r="J1002"/>
      <c r="K1002"/>
      <c r="L1002"/>
      <c r="M1002"/>
      <c r="N1002"/>
      <c r="O1002"/>
    </row>
    <row r="1003" spans="9:15" x14ac:dyDescent="0.25">
      <c r="I1003"/>
      <c r="J1003"/>
      <c r="K1003"/>
      <c r="L1003"/>
      <c r="M1003"/>
      <c r="N1003"/>
      <c r="O1003"/>
    </row>
    <row r="1004" spans="9:15" x14ac:dyDescent="0.25">
      <c r="I1004"/>
      <c r="J1004"/>
      <c r="K1004"/>
      <c r="L1004"/>
      <c r="M1004"/>
      <c r="N1004"/>
      <c r="O1004"/>
    </row>
    <row r="1005" spans="9:15" x14ac:dyDescent="0.25">
      <c r="I1005"/>
      <c r="J1005"/>
      <c r="K1005"/>
      <c r="L1005"/>
      <c r="M1005"/>
      <c r="N1005"/>
      <c r="O1005"/>
    </row>
    <row r="1006" spans="9:15" x14ac:dyDescent="0.25">
      <c r="I1006"/>
      <c r="J1006"/>
      <c r="K1006"/>
      <c r="L1006"/>
      <c r="M1006"/>
      <c r="N1006"/>
      <c r="O1006"/>
    </row>
    <row r="1007" spans="9:15" x14ac:dyDescent="0.25">
      <c r="I1007"/>
      <c r="J1007"/>
      <c r="K1007"/>
      <c r="L1007"/>
      <c r="M1007"/>
      <c r="N1007"/>
      <c r="O1007"/>
    </row>
    <row r="1008" spans="9:15" x14ac:dyDescent="0.25">
      <c r="I1008"/>
      <c r="J1008"/>
      <c r="K1008"/>
      <c r="L1008"/>
      <c r="M1008"/>
      <c r="N1008"/>
      <c r="O1008"/>
    </row>
    <row r="1009" spans="9:15" x14ac:dyDescent="0.25">
      <c r="I1009"/>
      <c r="J1009"/>
      <c r="K1009"/>
      <c r="L1009"/>
      <c r="M1009"/>
      <c r="N1009"/>
      <c r="O1009"/>
    </row>
    <row r="1010" spans="9:15" x14ac:dyDescent="0.25">
      <c r="I1010"/>
      <c r="J1010"/>
      <c r="K1010"/>
      <c r="L1010"/>
      <c r="M1010"/>
      <c r="N1010"/>
      <c r="O1010"/>
    </row>
    <row r="1011" spans="9:15" x14ac:dyDescent="0.25">
      <c r="I1011"/>
      <c r="J1011"/>
      <c r="K1011"/>
      <c r="L1011"/>
      <c r="M1011"/>
      <c r="N1011"/>
      <c r="O1011"/>
    </row>
    <row r="1012" spans="9:15" x14ac:dyDescent="0.25">
      <c r="I1012"/>
      <c r="J1012"/>
      <c r="K1012"/>
      <c r="L1012"/>
      <c r="M1012"/>
      <c r="N1012"/>
      <c r="O1012"/>
    </row>
    <row r="1013" spans="9:15" x14ac:dyDescent="0.25">
      <c r="I1013"/>
      <c r="J1013"/>
      <c r="K1013"/>
      <c r="L1013"/>
      <c r="M1013"/>
      <c r="N1013"/>
      <c r="O1013"/>
    </row>
    <row r="1014" spans="9:15" x14ac:dyDescent="0.25">
      <c r="I1014"/>
      <c r="J1014"/>
      <c r="K1014"/>
      <c r="L1014"/>
      <c r="M1014"/>
      <c r="N1014"/>
      <c r="O1014"/>
    </row>
    <row r="1015" spans="9:15" x14ac:dyDescent="0.25">
      <c r="I1015"/>
      <c r="J1015"/>
      <c r="K1015"/>
      <c r="L1015"/>
      <c r="M1015"/>
      <c r="N1015"/>
      <c r="O1015"/>
    </row>
    <row r="1016" spans="9:15" x14ac:dyDescent="0.25">
      <c r="I1016"/>
      <c r="J1016"/>
      <c r="K1016"/>
      <c r="L1016"/>
      <c r="M1016"/>
      <c r="N1016"/>
      <c r="O1016"/>
    </row>
    <row r="1017" spans="9:15" x14ac:dyDescent="0.25">
      <c r="I1017"/>
      <c r="J1017"/>
      <c r="K1017"/>
      <c r="L1017"/>
      <c r="M1017"/>
      <c r="N1017"/>
      <c r="O1017"/>
    </row>
    <row r="1018" spans="9:15" x14ac:dyDescent="0.25">
      <c r="I1018"/>
      <c r="J1018"/>
      <c r="K1018"/>
      <c r="L1018"/>
      <c r="M1018"/>
      <c r="N1018"/>
      <c r="O1018"/>
    </row>
    <row r="1019" spans="9:15" x14ac:dyDescent="0.25">
      <c r="I1019"/>
      <c r="J1019"/>
      <c r="K1019"/>
      <c r="L1019"/>
      <c r="M1019"/>
      <c r="N1019"/>
      <c r="O1019"/>
    </row>
    <row r="1020" spans="9:15" x14ac:dyDescent="0.25">
      <c r="I1020"/>
      <c r="J1020"/>
      <c r="K1020"/>
      <c r="L1020"/>
      <c r="M1020"/>
      <c r="N1020"/>
      <c r="O1020"/>
    </row>
    <row r="1021" spans="9:15" x14ac:dyDescent="0.25">
      <c r="I1021"/>
      <c r="J1021"/>
      <c r="K1021"/>
      <c r="L1021"/>
      <c r="M1021"/>
      <c r="N1021"/>
      <c r="O1021"/>
    </row>
    <row r="1022" spans="9:15" x14ac:dyDescent="0.25">
      <c r="I1022"/>
      <c r="J1022"/>
      <c r="K1022"/>
      <c r="L1022"/>
      <c r="M1022"/>
      <c r="N1022"/>
      <c r="O1022"/>
    </row>
    <row r="1023" spans="9:15" x14ac:dyDescent="0.25">
      <c r="I1023"/>
      <c r="J1023"/>
      <c r="K1023"/>
      <c r="L1023"/>
      <c r="M1023"/>
      <c r="N1023"/>
      <c r="O1023"/>
    </row>
    <row r="1024" spans="9:15" x14ac:dyDescent="0.25">
      <c r="I1024"/>
      <c r="J1024"/>
      <c r="K1024"/>
      <c r="L1024"/>
      <c r="M1024"/>
      <c r="N1024"/>
      <c r="O1024"/>
    </row>
    <row r="1025" spans="9:15" x14ac:dyDescent="0.25">
      <c r="I1025"/>
      <c r="J1025"/>
      <c r="K1025"/>
      <c r="L1025"/>
      <c r="M1025"/>
      <c r="N1025"/>
      <c r="O1025"/>
    </row>
    <row r="1026" spans="9:15" x14ac:dyDescent="0.25">
      <c r="I1026"/>
      <c r="J1026"/>
      <c r="K1026"/>
      <c r="L1026"/>
      <c r="M1026"/>
      <c r="N1026"/>
      <c r="O1026"/>
    </row>
    <row r="1027" spans="9:15" x14ac:dyDescent="0.25">
      <c r="I1027"/>
      <c r="J1027"/>
      <c r="K1027"/>
      <c r="L1027"/>
      <c r="M1027"/>
      <c r="N1027"/>
      <c r="O1027"/>
    </row>
    <row r="1028" spans="9:15" x14ac:dyDescent="0.25">
      <c r="I1028"/>
      <c r="J1028"/>
      <c r="K1028"/>
      <c r="L1028"/>
      <c r="M1028"/>
      <c r="N1028"/>
      <c r="O1028"/>
    </row>
    <row r="1029" spans="9:15" x14ac:dyDescent="0.25">
      <c r="I1029"/>
      <c r="J1029"/>
      <c r="K1029"/>
      <c r="L1029"/>
      <c r="M1029"/>
      <c r="N1029"/>
      <c r="O1029"/>
    </row>
    <row r="1030" spans="9:15" x14ac:dyDescent="0.25">
      <c r="I1030"/>
      <c r="J1030"/>
      <c r="K1030"/>
      <c r="L1030"/>
      <c r="M1030"/>
      <c r="N1030"/>
      <c r="O1030"/>
    </row>
    <row r="1031" spans="9:15" x14ac:dyDescent="0.25">
      <c r="I1031"/>
      <c r="J1031"/>
      <c r="K1031"/>
      <c r="L1031"/>
      <c r="M1031"/>
      <c r="N1031"/>
      <c r="O1031"/>
    </row>
    <row r="1032" spans="9:15" x14ac:dyDescent="0.25">
      <c r="I1032"/>
      <c r="J1032"/>
      <c r="K1032"/>
      <c r="L1032"/>
      <c r="M1032"/>
      <c r="N1032"/>
      <c r="O1032"/>
    </row>
    <row r="1033" spans="9:15" x14ac:dyDescent="0.25">
      <c r="I1033"/>
      <c r="J1033"/>
      <c r="K1033"/>
      <c r="L1033"/>
      <c r="M1033"/>
      <c r="N1033"/>
      <c r="O1033"/>
    </row>
    <row r="1034" spans="9:15" x14ac:dyDescent="0.25">
      <c r="I1034"/>
      <c r="J1034"/>
      <c r="K1034"/>
      <c r="L1034"/>
      <c r="M1034"/>
      <c r="N1034"/>
      <c r="O1034"/>
    </row>
    <row r="1035" spans="9:15" x14ac:dyDescent="0.25">
      <c r="I1035"/>
      <c r="J1035"/>
      <c r="K1035"/>
      <c r="L1035"/>
      <c r="M1035"/>
      <c r="N1035"/>
      <c r="O1035"/>
    </row>
    <row r="1036" spans="9:15" x14ac:dyDescent="0.25">
      <c r="I1036"/>
      <c r="J1036"/>
      <c r="K1036"/>
      <c r="L1036"/>
      <c r="M1036"/>
      <c r="N1036"/>
      <c r="O1036"/>
    </row>
    <row r="1037" spans="9:15" x14ac:dyDescent="0.25">
      <c r="I1037"/>
      <c r="J1037"/>
      <c r="K1037"/>
      <c r="L1037"/>
      <c r="M1037"/>
      <c r="N1037"/>
      <c r="O1037"/>
    </row>
    <row r="1038" spans="9:15" x14ac:dyDescent="0.25">
      <c r="I1038"/>
      <c r="J1038"/>
      <c r="K1038"/>
      <c r="L1038"/>
      <c r="M1038"/>
      <c r="N1038"/>
      <c r="O1038"/>
    </row>
    <row r="1039" spans="9:15" x14ac:dyDescent="0.25">
      <c r="I1039"/>
      <c r="J1039"/>
      <c r="K1039"/>
      <c r="L1039"/>
      <c r="M1039"/>
      <c r="N1039"/>
      <c r="O1039"/>
    </row>
    <row r="1040" spans="9:15" x14ac:dyDescent="0.25">
      <c r="I1040"/>
      <c r="J1040"/>
      <c r="K1040"/>
      <c r="L1040"/>
      <c r="M1040"/>
      <c r="N1040"/>
      <c r="O1040"/>
    </row>
    <row r="1041" spans="9:15" x14ac:dyDescent="0.25">
      <c r="I1041"/>
      <c r="J1041"/>
      <c r="K1041"/>
      <c r="L1041"/>
      <c r="M1041"/>
      <c r="N1041"/>
      <c r="O1041"/>
    </row>
    <row r="1042" spans="9:15" x14ac:dyDescent="0.25">
      <c r="I1042"/>
      <c r="J1042"/>
      <c r="K1042"/>
      <c r="L1042"/>
      <c r="M1042"/>
      <c r="N1042"/>
      <c r="O1042"/>
    </row>
    <row r="1043" spans="9:15" x14ac:dyDescent="0.25">
      <c r="I1043"/>
      <c r="J1043"/>
      <c r="K1043"/>
      <c r="L1043"/>
      <c r="M1043"/>
      <c r="N1043"/>
      <c r="O1043"/>
    </row>
    <row r="1044" spans="9:15" x14ac:dyDescent="0.25">
      <c r="I1044"/>
      <c r="J1044"/>
      <c r="K1044"/>
      <c r="L1044"/>
      <c r="M1044"/>
      <c r="N1044"/>
      <c r="O1044"/>
    </row>
    <row r="1045" spans="9:15" x14ac:dyDescent="0.25">
      <c r="I1045"/>
      <c r="J1045"/>
      <c r="K1045"/>
      <c r="L1045"/>
      <c r="M1045"/>
      <c r="N1045"/>
      <c r="O1045"/>
    </row>
    <row r="1046" spans="9:15" x14ac:dyDescent="0.25">
      <c r="I1046"/>
      <c r="J1046"/>
      <c r="K1046"/>
      <c r="L1046"/>
      <c r="M1046"/>
      <c r="N1046"/>
      <c r="O1046"/>
    </row>
    <row r="1047" spans="9:15" x14ac:dyDescent="0.25">
      <c r="I1047"/>
      <c r="J1047"/>
      <c r="K1047"/>
      <c r="L1047"/>
      <c r="M1047"/>
      <c r="N1047"/>
      <c r="O1047"/>
    </row>
    <row r="1048" spans="9:15" x14ac:dyDescent="0.25">
      <c r="I1048"/>
      <c r="J1048"/>
      <c r="K1048"/>
      <c r="L1048"/>
      <c r="M1048"/>
      <c r="N1048"/>
      <c r="O1048"/>
    </row>
    <row r="1049" spans="9:15" x14ac:dyDescent="0.25">
      <c r="I1049"/>
      <c r="J1049"/>
      <c r="K1049"/>
      <c r="L1049"/>
      <c r="M1049"/>
      <c r="N1049"/>
      <c r="O1049"/>
    </row>
    <row r="1050" spans="9:15" x14ac:dyDescent="0.25">
      <c r="I1050"/>
      <c r="J1050"/>
      <c r="K1050"/>
      <c r="L1050"/>
      <c r="M1050"/>
      <c r="N1050"/>
      <c r="O1050"/>
    </row>
    <row r="1051" spans="9:15" x14ac:dyDescent="0.25">
      <c r="I1051"/>
      <c r="J1051"/>
      <c r="K1051"/>
      <c r="L1051"/>
      <c r="M1051"/>
      <c r="N1051"/>
      <c r="O1051"/>
    </row>
    <row r="1052" spans="9:15" x14ac:dyDescent="0.25">
      <c r="I1052"/>
      <c r="J1052"/>
      <c r="K1052"/>
      <c r="L1052"/>
      <c r="M1052"/>
      <c r="N1052"/>
      <c r="O1052"/>
    </row>
    <row r="1053" spans="9:15" x14ac:dyDescent="0.25">
      <c r="I1053"/>
      <c r="J1053"/>
      <c r="K1053"/>
      <c r="L1053"/>
      <c r="M1053"/>
      <c r="N1053"/>
      <c r="O1053"/>
    </row>
    <row r="1054" spans="9:15" x14ac:dyDescent="0.25">
      <c r="I1054"/>
      <c r="J1054"/>
      <c r="K1054"/>
      <c r="L1054"/>
      <c r="M1054"/>
      <c r="N1054"/>
      <c r="O1054"/>
    </row>
    <row r="1055" spans="9:15" x14ac:dyDescent="0.25">
      <c r="I1055"/>
      <c r="J1055"/>
      <c r="K1055"/>
      <c r="L1055"/>
      <c r="M1055"/>
      <c r="N1055"/>
      <c r="O1055"/>
    </row>
    <row r="1056" spans="9:15" x14ac:dyDescent="0.25">
      <c r="I1056"/>
      <c r="J1056"/>
      <c r="K1056"/>
      <c r="L1056"/>
      <c r="M1056"/>
      <c r="N1056"/>
      <c r="O1056"/>
    </row>
    <row r="1057" spans="9:15" x14ac:dyDescent="0.25">
      <c r="I1057"/>
      <c r="J1057"/>
      <c r="K1057"/>
      <c r="L1057"/>
      <c r="M1057"/>
      <c r="N1057"/>
      <c r="O1057"/>
    </row>
    <row r="1058" spans="9:15" x14ac:dyDescent="0.25">
      <c r="I1058"/>
      <c r="J1058"/>
      <c r="K1058"/>
      <c r="L1058"/>
      <c r="M1058"/>
      <c r="N1058"/>
      <c r="O1058"/>
    </row>
    <row r="1059" spans="9:15" x14ac:dyDescent="0.25">
      <c r="I1059"/>
      <c r="J1059"/>
      <c r="K1059"/>
      <c r="L1059"/>
      <c r="M1059"/>
      <c r="N1059"/>
      <c r="O1059"/>
    </row>
    <row r="1060" spans="9:15" x14ac:dyDescent="0.25">
      <c r="I1060"/>
      <c r="J1060"/>
      <c r="K1060"/>
      <c r="L1060"/>
      <c r="M1060"/>
      <c r="N1060"/>
      <c r="O1060"/>
    </row>
    <row r="1061" spans="9:15" x14ac:dyDescent="0.25">
      <c r="I1061"/>
      <c r="J1061"/>
      <c r="K1061"/>
      <c r="L1061"/>
      <c r="M1061"/>
      <c r="N1061"/>
      <c r="O1061"/>
    </row>
    <row r="1062" spans="9:15" x14ac:dyDescent="0.25">
      <c r="I1062"/>
      <c r="J1062"/>
      <c r="K1062"/>
      <c r="L1062"/>
      <c r="M1062"/>
      <c r="N1062"/>
      <c r="O1062"/>
    </row>
    <row r="1063" spans="9:15" x14ac:dyDescent="0.25">
      <c r="I1063"/>
      <c r="J1063"/>
      <c r="K1063"/>
      <c r="L1063"/>
      <c r="M1063"/>
      <c r="N1063"/>
      <c r="O1063"/>
    </row>
    <row r="1064" spans="9:15" x14ac:dyDescent="0.25">
      <c r="I1064"/>
      <c r="J1064"/>
      <c r="K1064"/>
      <c r="L1064"/>
      <c r="M1064"/>
      <c r="N1064"/>
      <c r="O1064"/>
    </row>
    <row r="1065" spans="9:15" x14ac:dyDescent="0.25">
      <c r="I1065"/>
      <c r="J1065"/>
      <c r="K1065"/>
      <c r="L1065"/>
      <c r="M1065"/>
      <c r="N1065"/>
      <c r="O1065"/>
    </row>
    <row r="1066" spans="9:15" x14ac:dyDescent="0.25">
      <c r="I1066"/>
      <c r="J1066"/>
      <c r="K1066"/>
      <c r="L1066"/>
      <c r="M1066"/>
      <c r="N1066"/>
      <c r="O1066"/>
    </row>
    <row r="1067" spans="9:15" x14ac:dyDescent="0.25">
      <c r="I1067"/>
      <c r="J1067"/>
      <c r="K1067"/>
      <c r="L1067"/>
      <c r="M1067"/>
      <c r="N1067"/>
      <c r="O1067"/>
    </row>
    <row r="1068" spans="9:15" x14ac:dyDescent="0.25">
      <c r="I1068"/>
      <c r="J1068"/>
      <c r="K1068"/>
      <c r="L1068"/>
      <c r="M1068"/>
      <c r="N1068"/>
      <c r="O1068"/>
    </row>
    <row r="1069" spans="9:15" x14ac:dyDescent="0.25">
      <c r="I1069"/>
      <c r="J1069"/>
      <c r="K1069"/>
      <c r="L1069"/>
      <c r="M1069"/>
      <c r="N1069"/>
      <c r="O1069"/>
    </row>
    <row r="1070" spans="9:15" x14ac:dyDescent="0.25">
      <c r="I1070"/>
      <c r="J1070"/>
      <c r="K1070"/>
      <c r="L1070"/>
      <c r="M1070"/>
      <c r="N1070"/>
      <c r="O1070"/>
    </row>
    <row r="1071" spans="9:15" x14ac:dyDescent="0.25">
      <c r="I1071"/>
      <c r="J1071"/>
      <c r="K1071"/>
      <c r="L1071"/>
      <c r="M1071"/>
      <c r="N1071"/>
      <c r="O1071"/>
    </row>
    <row r="1072" spans="9:15" x14ac:dyDescent="0.25">
      <c r="I1072"/>
      <c r="J1072"/>
      <c r="K1072"/>
      <c r="L1072"/>
      <c r="M1072"/>
      <c r="N1072"/>
      <c r="O1072"/>
    </row>
    <row r="1073" spans="9:15" x14ac:dyDescent="0.25">
      <c r="I1073"/>
      <c r="J1073"/>
      <c r="K1073"/>
      <c r="L1073"/>
      <c r="M1073"/>
      <c r="N1073"/>
      <c r="O1073"/>
    </row>
    <row r="1074" spans="9:15" x14ac:dyDescent="0.25">
      <c r="I1074"/>
      <c r="J1074"/>
      <c r="K1074"/>
      <c r="L1074"/>
      <c r="M1074"/>
      <c r="N1074"/>
      <c r="O1074"/>
    </row>
    <row r="1075" spans="9:15" x14ac:dyDescent="0.25">
      <c r="I1075"/>
      <c r="J1075"/>
      <c r="K1075"/>
      <c r="L1075"/>
      <c r="M1075"/>
      <c r="N1075"/>
      <c r="O1075"/>
    </row>
    <row r="1076" spans="9:15" x14ac:dyDescent="0.25">
      <c r="I1076"/>
      <c r="J1076"/>
      <c r="K1076"/>
      <c r="L1076"/>
      <c r="M1076"/>
      <c r="N1076"/>
      <c r="O1076"/>
    </row>
    <row r="1077" spans="9:15" x14ac:dyDescent="0.25">
      <c r="I1077"/>
      <c r="J1077"/>
      <c r="K1077"/>
      <c r="L1077"/>
      <c r="M1077"/>
      <c r="N1077"/>
      <c r="O1077"/>
    </row>
    <row r="1078" spans="9:15" x14ac:dyDescent="0.25">
      <c r="I1078"/>
      <c r="J1078"/>
      <c r="K1078"/>
      <c r="L1078"/>
      <c r="M1078"/>
      <c r="N1078"/>
      <c r="O1078"/>
    </row>
    <row r="1079" spans="9:15" x14ac:dyDescent="0.25">
      <c r="I1079"/>
      <c r="J1079"/>
      <c r="K1079"/>
      <c r="L1079"/>
      <c r="M1079"/>
      <c r="N1079"/>
      <c r="O1079"/>
    </row>
    <row r="1080" spans="9:15" x14ac:dyDescent="0.25">
      <c r="I1080"/>
      <c r="J1080"/>
      <c r="K1080"/>
      <c r="L1080"/>
      <c r="M1080"/>
      <c r="N1080"/>
      <c r="O1080"/>
    </row>
    <row r="1081" spans="9:15" x14ac:dyDescent="0.25">
      <c r="I1081"/>
      <c r="J1081"/>
      <c r="K1081"/>
      <c r="L1081"/>
      <c r="M1081"/>
      <c r="N1081"/>
      <c r="O1081"/>
    </row>
    <row r="1082" spans="9:15" x14ac:dyDescent="0.25">
      <c r="I1082"/>
      <c r="J1082"/>
      <c r="K1082"/>
      <c r="L1082"/>
      <c r="M1082"/>
      <c r="N1082"/>
      <c r="O1082"/>
    </row>
    <row r="1083" spans="9:15" x14ac:dyDescent="0.25">
      <c r="I1083"/>
      <c r="J1083"/>
      <c r="K1083"/>
      <c r="L1083"/>
      <c r="M1083"/>
      <c r="N1083"/>
      <c r="O1083"/>
    </row>
    <row r="1084" spans="9:15" x14ac:dyDescent="0.25">
      <c r="I1084"/>
      <c r="J1084"/>
      <c r="K1084"/>
      <c r="L1084"/>
      <c r="M1084"/>
      <c r="N1084"/>
      <c r="O1084"/>
    </row>
    <row r="1085" spans="9:15" x14ac:dyDescent="0.25">
      <c r="I1085"/>
      <c r="J1085"/>
      <c r="K1085"/>
      <c r="L1085"/>
      <c r="M1085"/>
      <c r="N1085"/>
      <c r="O1085"/>
    </row>
    <row r="1086" spans="9:15" x14ac:dyDescent="0.25">
      <c r="I1086"/>
      <c r="J1086"/>
      <c r="K1086"/>
      <c r="L1086"/>
      <c r="M1086"/>
      <c r="N1086"/>
      <c r="O1086"/>
    </row>
    <row r="1087" spans="9:15" x14ac:dyDescent="0.25">
      <c r="I1087"/>
      <c r="J1087"/>
      <c r="K1087"/>
      <c r="L1087"/>
      <c r="M1087"/>
      <c r="N1087"/>
      <c r="O1087"/>
    </row>
    <row r="1088" spans="9:15" x14ac:dyDescent="0.25">
      <c r="I1088"/>
      <c r="J1088"/>
      <c r="K1088"/>
      <c r="L1088"/>
      <c r="M1088"/>
      <c r="N1088"/>
      <c r="O1088"/>
    </row>
    <row r="1089" spans="9:15" x14ac:dyDescent="0.25">
      <c r="I1089"/>
      <c r="J1089"/>
      <c r="K1089"/>
      <c r="L1089"/>
      <c r="M1089"/>
      <c r="N1089"/>
      <c r="O1089"/>
    </row>
    <row r="1090" spans="9:15" x14ac:dyDescent="0.25">
      <c r="I1090"/>
      <c r="J1090"/>
      <c r="K1090"/>
      <c r="L1090"/>
      <c r="M1090"/>
      <c r="N1090"/>
      <c r="O1090"/>
    </row>
    <row r="1091" spans="9:15" x14ac:dyDescent="0.25">
      <c r="I1091"/>
      <c r="J1091"/>
      <c r="K1091"/>
      <c r="L1091"/>
      <c r="M1091"/>
      <c r="N1091"/>
      <c r="O1091"/>
    </row>
    <row r="1092" spans="9:15" x14ac:dyDescent="0.25">
      <c r="I1092"/>
      <c r="J1092"/>
      <c r="K1092"/>
      <c r="L1092"/>
      <c r="M1092"/>
      <c r="N1092"/>
      <c r="O1092"/>
    </row>
    <row r="1093" spans="9:15" x14ac:dyDescent="0.25">
      <c r="I1093"/>
      <c r="J1093"/>
      <c r="K1093"/>
      <c r="L1093"/>
      <c r="M1093"/>
      <c r="N1093"/>
      <c r="O1093"/>
    </row>
    <row r="1094" spans="9:15" x14ac:dyDescent="0.25">
      <c r="I1094"/>
      <c r="J1094"/>
      <c r="K1094"/>
      <c r="L1094"/>
      <c r="M1094"/>
      <c r="N1094"/>
      <c r="O1094"/>
    </row>
    <row r="1095" spans="9:15" x14ac:dyDescent="0.25">
      <c r="I1095"/>
      <c r="J1095"/>
      <c r="K1095"/>
      <c r="L1095"/>
      <c r="M1095"/>
      <c r="N1095"/>
      <c r="O1095"/>
    </row>
    <row r="1096" spans="9:15" x14ac:dyDescent="0.25">
      <c r="I1096"/>
      <c r="J1096"/>
      <c r="K1096"/>
      <c r="L1096"/>
      <c r="M1096"/>
      <c r="N1096"/>
      <c r="O1096"/>
    </row>
    <row r="1097" spans="9:15" x14ac:dyDescent="0.25">
      <c r="I1097"/>
      <c r="J1097"/>
      <c r="K1097"/>
      <c r="L1097"/>
      <c r="M1097"/>
      <c r="N1097"/>
      <c r="O1097"/>
    </row>
    <row r="1098" spans="9:15" x14ac:dyDescent="0.25">
      <c r="I1098"/>
      <c r="J1098"/>
      <c r="K1098"/>
      <c r="L1098"/>
      <c r="M1098"/>
      <c r="N1098"/>
      <c r="O1098"/>
    </row>
    <row r="1099" spans="9:15" x14ac:dyDescent="0.25">
      <c r="I1099"/>
      <c r="J1099"/>
      <c r="K1099"/>
      <c r="L1099"/>
      <c r="M1099"/>
      <c r="N1099"/>
      <c r="O1099"/>
    </row>
    <row r="1100" spans="9:15" x14ac:dyDescent="0.25">
      <c r="I1100"/>
      <c r="J1100"/>
      <c r="K1100"/>
      <c r="L1100"/>
      <c r="M1100"/>
      <c r="N1100"/>
      <c r="O1100"/>
    </row>
    <row r="1101" spans="9:15" x14ac:dyDescent="0.25">
      <c r="I1101"/>
      <c r="J1101"/>
      <c r="K1101"/>
      <c r="L1101"/>
      <c r="M1101"/>
      <c r="N1101"/>
      <c r="O1101"/>
    </row>
    <row r="1102" spans="9:15" x14ac:dyDescent="0.25">
      <c r="I1102"/>
      <c r="J1102"/>
      <c r="K1102"/>
      <c r="L1102"/>
      <c r="M1102"/>
      <c r="N1102"/>
      <c r="O1102"/>
    </row>
    <row r="1103" spans="9:15" x14ac:dyDescent="0.25">
      <c r="I1103"/>
      <c r="J1103"/>
      <c r="K1103"/>
      <c r="L1103"/>
      <c r="M1103"/>
      <c r="N1103"/>
      <c r="O1103"/>
    </row>
    <row r="1104" spans="9:15" x14ac:dyDescent="0.25">
      <c r="I1104"/>
      <c r="J1104"/>
      <c r="K1104"/>
      <c r="L1104"/>
      <c r="M1104"/>
      <c r="N1104"/>
      <c r="O1104"/>
    </row>
    <row r="1105" spans="9:15" x14ac:dyDescent="0.25">
      <c r="I1105"/>
      <c r="J1105"/>
      <c r="K1105"/>
      <c r="L1105"/>
      <c r="M1105"/>
      <c r="N1105"/>
      <c r="O1105"/>
    </row>
    <row r="1106" spans="9:15" x14ac:dyDescent="0.25">
      <c r="I1106"/>
      <c r="J1106"/>
      <c r="K1106"/>
      <c r="L1106"/>
      <c r="M1106"/>
      <c r="N1106"/>
      <c r="O1106"/>
    </row>
    <row r="1107" spans="9:15" x14ac:dyDescent="0.25">
      <c r="I1107"/>
      <c r="J1107"/>
      <c r="K1107"/>
      <c r="L1107"/>
      <c r="M1107"/>
      <c r="N1107"/>
      <c r="O1107"/>
    </row>
    <row r="1108" spans="9:15" x14ac:dyDescent="0.25">
      <c r="I1108"/>
      <c r="J1108"/>
      <c r="K1108"/>
      <c r="L1108"/>
      <c r="M1108"/>
      <c r="N1108"/>
      <c r="O1108"/>
    </row>
    <row r="1109" spans="9:15" x14ac:dyDescent="0.25">
      <c r="I1109"/>
      <c r="J1109"/>
      <c r="K1109"/>
      <c r="L1109"/>
      <c r="M1109"/>
      <c r="N1109"/>
      <c r="O1109"/>
    </row>
    <row r="1110" spans="9:15" x14ac:dyDescent="0.25">
      <c r="I1110"/>
      <c r="J1110"/>
      <c r="K1110"/>
      <c r="L1110"/>
      <c r="M1110"/>
      <c r="N1110"/>
      <c r="O1110"/>
    </row>
    <row r="1111" spans="9:15" x14ac:dyDescent="0.25">
      <c r="I1111"/>
      <c r="J1111"/>
      <c r="K1111"/>
      <c r="L1111"/>
      <c r="M1111"/>
      <c r="N1111"/>
      <c r="O1111"/>
    </row>
    <row r="1112" spans="9:15" x14ac:dyDescent="0.25">
      <c r="I1112"/>
      <c r="J1112"/>
      <c r="K1112"/>
      <c r="L1112"/>
      <c r="M1112"/>
      <c r="N1112"/>
      <c r="O1112"/>
    </row>
    <row r="1113" spans="9:15" x14ac:dyDescent="0.25">
      <c r="I1113"/>
      <c r="J1113"/>
      <c r="K1113"/>
      <c r="L1113"/>
      <c r="M1113"/>
      <c r="N1113"/>
      <c r="O1113"/>
    </row>
    <row r="1114" spans="9:15" x14ac:dyDescent="0.25">
      <c r="I1114"/>
      <c r="J1114"/>
      <c r="K1114"/>
      <c r="L1114"/>
      <c r="M1114"/>
      <c r="N1114"/>
      <c r="O1114"/>
    </row>
    <row r="1115" spans="9:15" x14ac:dyDescent="0.25">
      <c r="I1115"/>
      <c r="J1115"/>
      <c r="K1115"/>
      <c r="L1115"/>
      <c r="M1115"/>
      <c r="N1115"/>
      <c r="O1115"/>
    </row>
    <row r="1116" spans="9:15" x14ac:dyDescent="0.25">
      <c r="I1116"/>
      <c r="J1116"/>
      <c r="K1116"/>
      <c r="L1116"/>
      <c r="M1116"/>
      <c r="N1116"/>
      <c r="O1116"/>
    </row>
    <row r="1117" spans="9:15" x14ac:dyDescent="0.25">
      <c r="I1117"/>
      <c r="J1117"/>
      <c r="K1117"/>
      <c r="L1117"/>
      <c r="M1117"/>
      <c r="N1117"/>
      <c r="O1117"/>
    </row>
    <row r="1118" spans="9:15" x14ac:dyDescent="0.25">
      <c r="I1118"/>
      <c r="J1118"/>
      <c r="K1118"/>
      <c r="L1118"/>
      <c r="M1118"/>
      <c r="N1118"/>
      <c r="O1118"/>
    </row>
    <row r="1119" spans="9:15" x14ac:dyDescent="0.25">
      <c r="I1119"/>
      <c r="J1119"/>
      <c r="K1119"/>
      <c r="L1119"/>
      <c r="M1119"/>
      <c r="N1119"/>
      <c r="O1119"/>
    </row>
    <row r="1120" spans="9:15" x14ac:dyDescent="0.25">
      <c r="I1120"/>
      <c r="J1120"/>
      <c r="K1120"/>
      <c r="L1120"/>
      <c r="M1120"/>
      <c r="N1120"/>
      <c r="O1120"/>
    </row>
    <row r="1121" spans="9:15" x14ac:dyDescent="0.25">
      <c r="I1121"/>
      <c r="J1121"/>
      <c r="K1121"/>
      <c r="L1121"/>
      <c r="M1121"/>
      <c r="N1121"/>
      <c r="O1121"/>
    </row>
    <row r="1122" spans="9:15" x14ac:dyDescent="0.25">
      <c r="I1122"/>
      <c r="J1122"/>
      <c r="K1122"/>
      <c r="L1122"/>
      <c r="M1122"/>
      <c r="N1122"/>
      <c r="O1122"/>
    </row>
    <row r="1123" spans="9:15" x14ac:dyDescent="0.25">
      <c r="I1123"/>
      <c r="J1123"/>
      <c r="K1123"/>
      <c r="L1123"/>
      <c r="M1123"/>
      <c r="N1123"/>
      <c r="O1123"/>
    </row>
    <row r="1124" spans="9:15" x14ac:dyDescent="0.25">
      <c r="I1124"/>
      <c r="J1124"/>
      <c r="K1124"/>
      <c r="L1124"/>
      <c r="M1124"/>
      <c r="N1124"/>
      <c r="O1124"/>
    </row>
    <row r="1125" spans="9:15" x14ac:dyDescent="0.25">
      <c r="I1125"/>
      <c r="J1125"/>
      <c r="K1125"/>
      <c r="L1125"/>
      <c r="M1125"/>
      <c r="N1125"/>
      <c r="O1125"/>
    </row>
    <row r="1126" spans="9:15" x14ac:dyDescent="0.25">
      <c r="I1126"/>
      <c r="J1126"/>
      <c r="K1126"/>
      <c r="L1126"/>
      <c r="M1126"/>
      <c r="N1126"/>
      <c r="O1126"/>
    </row>
    <row r="1127" spans="9:15" x14ac:dyDescent="0.25">
      <c r="I1127"/>
      <c r="J1127"/>
      <c r="K1127"/>
      <c r="L1127"/>
      <c r="M1127"/>
      <c r="N1127"/>
      <c r="O1127"/>
    </row>
    <row r="1128" spans="9:15" x14ac:dyDescent="0.25">
      <c r="I1128"/>
      <c r="J1128"/>
      <c r="K1128"/>
      <c r="L1128"/>
      <c r="M1128"/>
      <c r="N1128"/>
      <c r="O1128"/>
    </row>
    <row r="1129" spans="9:15" x14ac:dyDescent="0.25">
      <c r="I1129"/>
      <c r="J1129"/>
      <c r="K1129"/>
      <c r="L1129"/>
      <c r="M1129"/>
      <c r="N1129"/>
      <c r="O1129"/>
    </row>
    <row r="1130" spans="9:15" x14ac:dyDescent="0.25">
      <c r="I1130"/>
      <c r="J1130"/>
      <c r="K1130"/>
      <c r="L1130"/>
      <c r="M1130"/>
      <c r="N1130"/>
      <c r="O1130"/>
    </row>
    <row r="1131" spans="9:15" x14ac:dyDescent="0.25">
      <c r="I1131"/>
      <c r="J1131"/>
      <c r="K1131"/>
      <c r="L1131"/>
      <c r="M1131"/>
      <c r="N1131"/>
      <c r="O1131"/>
    </row>
    <row r="1132" spans="9:15" x14ac:dyDescent="0.25">
      <c r="I1132"/>
      <c r="J1132"/>
      <c r="K1132"/>
      <c r="L1132"/>
      <c r="M1132"/>
      <c r="N1132"/>
      <c r="O1132"/>
    </row>
    <row r="1133" spans="9:15" x14ac:dyDescent="0.25">
      <c r="I1133"/>
      <c r="J1133"/>
      <c r="K1133"/>
      <c r="L1133"/>
      <c r="M1133"/>
      <c r="N1133"/>
      <c r="O1133"/>
    </row>
    <row r="1134" spans="9:15" x14ac:dyDescent="0.25">
      <c r="I1134"/>
      <c r="J1134"/>
      <c r="K1134"/>
      <c r="L1134"/>
      <c r="M1134"/>
      <c r="N1134"/>
      <c r="O1134"/>
    </row>
    <row r="1135" spans="9:15" x14ac:dyDescent="0.25">
      <c r="I1135"/>
      <c r="J1135"/>
      <c r="K1135"/>
      <c r="L1135"/>
      <c r="M1135"/>
      <c r="N1135"/>
      <c r="O1135"/>
    </row>
    <row r="1136" spans="9:15" x14ac:dyDescent="0.25">
      <c r="I1136"/>
      <c r="J1136"/>
      <c r="K1136"/>
      <c r="L1136"/>
      <c r="M1136"/>
      <c r="N1136"/>
      <c r="O1136"/>
    </row>
    <row r="1137" spans="9:15" x14ac:dyDescent="0.25">
      <c r="I1137"/>
      <c r="J1137"/>
      <c r="K1137"/>
      <c r="L1137"/>
      <c r="M1137"/>
      <c r="N1137"/>
      <c r="O1137"/>
    </row>
    <row r="1138" spans="9:15" x14ac:dyDescent="0.25">
      <c r="I1138"/>
      <c r="J1138"/>
      <c r="K1138"/>
      <c r="L1138"/>
      <c r="M1138"/>
      <c r="N1138"/>
      <c r="O1138"/>
    </row>
    <row r="1139" spans="9:15" x14ac:dyDescent="0.25">
      <c r="I1139"/>
      <c r="J1139"/>
      <c r="K1139"/>
      <c r="L1139"/>
      <c r="M1139"/>
      <c r="N1139"/>
      <c r="O1139"/>
    </row>
    <row r="1140" spans="9:15" x14ac:dyDescent="0.25">
      <c r="I1140"/>
      <c r="J1140"/>
      <c r="K1140"/>
      <c r="L1140"/>
      <c r="M1140"/>
      <c r="N1140"/>
      <c r="O1140"/>
    </row>
    <row r="1141" spans="9:15" x14ac:dyDescent="0.25">
      <c r="I1141"/>
      <c r="J1141"/>
      <c r="K1141"/>
      <c r="L1141"/>
      <c r="M1141"/>
      <c r="N1141"/>
      <c r="O1141"/>
    </row>
    <row r="1142" spans="9:15" x14ac:dyDescent="0.25">
      <c r="I1142"/>
      <c r="J1142"/>
      <c r="K1142"/>
      <c r="L1142"/>
      <c r="M1142"/>
      <c r="N1142"/>
      <c r="O1142"/>
    </row>
    <row r="1143" spans="9:15" x14ac:dyDescent="0.25">
      <c r="I1143"/>
      <c r="J1143"/>
      <c r="K1143"/>
      <c r="L1143"/>
      <c r="M1143"/>
      <c r="N1143"/>
      <c r="O1143"/>
    </row>
    <row r="1144" spans="9:15" x14ac:dyDescent="0.25">
      <c r="I1144"/>
      <c r="J1144"/>
      <c r="K1144"/>
      <c r="L1144"/>
      <c r="M1144"/>
      <c r="N1144"/>
      <c r="O1144"/>
    </row>
    <row r="1145" spans="9:15" x14ac:dyDescent="0.25">
      <c r="I1145"/>
      <c r="J1145"/>
      <c r="K1145"/>
      <c r="L1145"/>
      <c r="M1145"/>
      <c r="N1145"/>
      <c r="O1145"/>
    </row>
    <row r="1146" spans="9:15" x14ac:dyDescent="0.25">
      <c r="I1146"/>
      <c r="J1146"/>
      <c r="K1146"/>
      <c r="L1146"/>
      <c r="M1146"/>
      <c r="N1146"/>
      <c r="O1146"/>
    </row>
    <row r="1147" spans="9:15" x14ac:dyDescent="0.25">
      <c r="I1147"/>
      <c r="J1147"/>
      <c r="K1147"/>
      <c r="L1147"/>
      <c r="M1147"/>
      <c r="N1147"/>
      <c r="O1147"/>
    </row>
    <row r="1148" spans="9:15" x14ac:dyDescent="0.25">
      <c r="I1148"/>
      <c r="J1148"/>
      <c r="K1148"/>
      <c r="L1148"/>
      <c r="M1148"/>
      <c r="N1148"/>
      <c r="O1148"/>
    </row>
    <row r="1149" spans="9:15" x14ac:dyDescent="0.25">
      <c r="I1149"/>
      <c r="J1149"/>
      <c r="K1149"/>
      <c r="L1149"/>
      <c r="M1149"/>
      <c r="N1149"/>
      <c r="O1149"/>
    </row>
    <row r="1150" spans="9:15" x14ac:dyDescent="0.25">
      <c r="I1150"/>
      <c r="J1150"/>
      <c r="K1150"/>
      <c r="L1150"/>
      <c r="M1150"/>
      <c r="N1150"/>
      <c r="O1150"/>
    </row>
    <row r="1151" spans="9:15" x14ac:dyDescent="0.25">
      <c r="I1151"/>
      <c r="J1151"/>
      <c r="K1151"/>
      <c r="L1151"/>
      <c r="M1151"/>
      <c r="N1151"/>
      <c r="O1151"/>
    </row>
    <row r="1152" spans="9:15" x14ac:dyDescent="0.25">
      <c r="I1152"/>
      <c r="J1152"/>
      <c r="K1152"/>
      <c r="L1152"/>
      <c r="M1152"/>
      <c r="N1152"/>
      <c r="O1152"/>
    </row>
    <row r="1153" spans="9:15" x14ac:dyDescent="0.25">
      <c r="I1153"/>
      <c r="J1153"/>
      <c r="K1153"/>
      <c r="L1153"/>
      <c r="M1153"/>
      <c r="N1153"/>
      <c r="O1153"/>
    </row>
    <row r="1154" spans="9:15" x14ac:dyDescent="0.25">
      <c r="I1154"/>
      <c r="J1154"/>
      <c r="K1154"/>
      <c r="L1154"/>
      <c r="M1154"/>
      <c r="N1154"/>
      <c r="O1154"/>
    </row>
    <row r="1155" spans="9:15" x14ac:dyDescent="0.25">
      <c r="I1155"/>
      <c r="J1155"/>
      <c r="K1155"/>
      <c r="L1155"/>
      <c r="M1155"/>
      <c r="N1155"/>
      <c r="O1155"/>
    </row>
    <row r="1156" spans="9:15" x14ac:dyDescent="0.25">
      <c r="I1156"/>
      <c r="J1156"/>
      <c r="K1156"/>
      <c r="L1156"/>
      <c r="M1156"/>
      <c r="N1156"/>
      <c r="O1156"/>
    </row>
    <row r="1157" spans="9:15" x14ac:dyDescent="0.25">
      <c r="I1157"/>
      <c r="J1157"/>
      <c r="K1157"/>
      <c r="L1157"/>
      <c r="M1157"/>
      <c r="N1157"/>
      <c r="O1157"/>
    </row>
    <row r="1158" spans="9:15" x14ac:dyDescent="0.25">
      <c r="I1158"/>
      <c r="J1158"/>
      <c r="K1158"/>
      <c r="L1158"/>
      <c r="M1158"/>
      <c r="N1158"/>
      <c r="O1158"/>
    </row>
    <row r="1159" spans="9:15" x14ac:dyDescent="0.25">
      <c r="I1159"/>
      <c r="J1159"/>
      <c r="K1159"/>
      <c r="L1159"/>
      <c r="M1159"/>
      <c r="N1159"/>
      <c r="O1159"/>
    </row>
    <row r="1160" spans="9:15" x14ac:dyDescent="0.25">
      <c r="I1160"/>
      <c r="J1160"/>
      <c r="K1160"/>
      <c r="L1160"/>
      <c r="M1160"/>
      <c r="N1160"/>
      <c r="O1160"/>
    </row>
    <row r="1161" spans="9:15" x14ac:dyDescent="0.25">
      <c r="I1161"/>
      <c r="J1161"/>
      <c r="K1161"/>
      <c r="L1161"/>
      <c r="M1161"/>
      <c r="N1161"/>
      <c r="O1161"/>
    </row>
    <row r="1162" spans="9:15" x14ac:dyDescent="0.25">
      <c r="I1162"/>
      <c r="J1162"/>
      <c r="K1162"/>
      <c r="L1162"/>
      <c r="M1162"/>
      <c r="N1162"/>
      <c r="O1162"/>
    </row>
    <row r="1163" spans="9:15" x14ac:dyDescent="0.25">
      <c r="I1163"/>
      <c r="J1163"/>
      <c r="K1163"/>
      <c r="L1163"/>
      <c r="M1163"/>
      <c r="N1163"/>
      <c r="O1163"/>
    </row>
    <row r="1164" spans="9:15" x14ac:dyDescent="0.25">
      <c r="I1164"/>
      <c r="J1164"/>
      <c r="K1164"/>
      <c r="L1164"/>
      <c r="M1164"/>
      <c r="N1164"/>
      <c r="O1164"/>
    </row>
    <row r="1165" spans="9:15" x14ac:dyDescent="0.25">
      <c r="I1165"/>
      <c r="J1165"/>
      <c r="K1165"/>
      <c r="L1165"/>
      <c r="M1165"/>
      <c r="N1165"/>
      <c r="O1165"/>
    </row>
    <row r="1166" spans="9:15" x14ac:dyDescent="0.25">
      <c r="I1166"/>
      <c r="J1166"/>
      <c r="K1166"/>
      <c r="L1166"/>
      <c r="M1166"/>
      <c r="N1166"/>
      <c r="O1166"/>
    </row>
    <row r="1167" spans="9:15" x14ac:dyDescent="0.25">
      <c r="I1167"/>
      <c r="J1167"/>
      <c r="K1167"/>
      <c r="L1167"/>
      <c r="M1167"/>
      <c r="N1167"/>
      <c r="O1167"/>
    </row>
    <row r="1168" spans="9:15" x14ac:dyDescent="0.25">
      <c r="I1168"/>
      <c r="J1168"/>
      <c r="K1168"/>
      <c r="L1168"/>
      <c r="M1168"/>
      <c r="N1168"/>
      <c r="O1168"/>
    </row>
    <row r="1169" spans="9:15" x14ac:dyDescent="0.25">
      <c r="I1169"/>
      <c r="J1169"/>
      <c r="K1169"/>
      <c r="L1169"/>
      <c r="M1169"/>
      <c r="N1169"/>
      <c r="O1169"/>
    </row>
    <row r="1170" spans="9:15" x14ac:dyDescent="0.25">
      <c r="I1170"/>
      <c r="J1170"/>
      <c r="K1170"/>
      <c r="L1170"/>
      <c r="M1170"/>
      <c r="N1170"/>
      <c r="O1170"/>
    </row>
    <row r="1171" spans="9:15" x14ac:dyDescent="0.25">
      <c r="I1171"/>
      <c r="J1171"/>
      <c r="K1171"/>
      <c r="L1171"/>
      <c r="M1171"/>
      <c r="N1171"/>
      <c r="O1171"/>
    </row>
    <row r="1172" spans="9:15" x14ac:dyDescent="0.25">
      <c r="I1172"/>
      <c r="J1172"/>
      <c r="K1172"/>
      <c r="L1172"/>
      <c r="M1172"/>
      <c r="N1172"/>
      <c r="O1172"/>
    </row>
    <row r="1173" spans="9:15" x14ac:dyDescent="0.25">
      <c r="I1173"/>
      <c r="J1173"/>
      <c r="K1173"/>
      <c r="L1173"/>
      <c r="M1173"/>
      <c r="N1173"/>
      <c r="O1173"/>
    </row>
    <row r="1174" spans="9:15" x14ac:dyDescent="0.25">
      <c r="I1174"/>
      <c r="J1174"/>
      <c r="K1174"/>
      <c r="L1174"/>
      <c r="M1174"/>
      <c r="N1174"/>
      <c r="O1174"/>
    </row>
    <row r="1175" spans="9:15" x14ac:dyDescent="0.25">
      <c r="I1175"/>
      <c r="J1175"/>
      <c r="K1175"/>
      <c r="L1175"/>
      <c r="M1175"/>
      <c r="N1175"/>
      <c r="O1175"/>
    </row>
    <row r="1176" spans="9:15" x14ac:dyDescent="0.25">
      <c r="I1176"/>
      <c r="J1176"/>
      <c r="K1176"/>
      <c r="L1176"/>
      <c r="M1176"/>
      <c r="N1176"/>
      <c r="O1176"/>
    </row>
    <row r="1177" spans="9:15" x14ac:dyDescent="0.25">
      <c r="I1177"/>
      <c r="J1177"/>
      <c r="K1177"/>
      <c r="L1177"/>
      <c r="M1177"/>
      <c r="N1177"/>
      <c r="O1177"/>
    </row>
    <row r="1178" spans="9:15" x14ac:dyDescent="0.25">
      <c r="I1178"/>
      <c r="J1178"/>
      <c r="K1178"/>
      <c r="L1178"/>
      <c r="M1178"/>
      <c r="N1178"/>
      <c r="O1178"/>
    </row>
    <row r="1179" spans="9:15" x14ac:dyDescent="0.25">
      <c r="I1179"/>
      <c r="J1179"/>
      <c r="K1179"/>
      <c r="L1179"/>
      <c r="M1179"/>
      <c r="N1179"/>
      <c r="O1179"/>
    </row>
    <row r="1180" spans="9:15" x14ac:dyDescent="0.25">
      <c r="I1180"/>
      <c r="J1180"/>
      <c r="K1180"/>
      <c r="L1180"/>
      <c r="M1180"/>
      <c r="N1180"/>
      <c r="O1180"/>
    </row>
    <row r="1181" spans="9:15" x14ac:dyDescent="0.25">
      <c r="I1181"/>
      <c r="J1181"/>
      <c r="K1181"/>
      <c r="L1181"/>
      <c r="M1181"/>
      <c r="N1181"/>
      <c r="O1181"/>
    </row>
    <row r="1182" spans="9:15" x14ac:dyDescent="0.25">
      <c r="I1182"/>
      <c r="J1182"/>
      <c r="K1182"/>
      <c r="L1182"/>
      <c r="M1182"/>
      <c r="N1182"/>
      <c r="O1182"/>
    </row>
    <row r="1183" spans="9:15" x14ac:dyDescent="0.25">
      <c r="I1183"/>
      <c r="J1183"/>
      <c r="K1183"/>
      <c r="L1183"/>
      <c r="M1183"/>
      <c r="N1183"/>
      <c r="O1183"/>
    </row>
    <row r="1184" spans="9:15" x14ac:dyDescent="0.25">
      <c r="I1184"/>
      <c r="J1184"/>
      <c r="K1184"/>
      <c r="L1184"/>
      <c r="M1184"/>
      <c r="N1184"/>
      <c r="O1184"/>
    </row>
    <row r="1185" spans="9:15" x14ac:dyDescent="0.25">
      <c r="I1185"/>
      <c r="J1185"/>
      <c r="K1185"/>
      <c r="L1185"/>
      <c r="M1185"/>
      <c r="N1185"/>
      <c r="O1185"/>
    </row>
    <row r="1186" spans="9:15" x14ac:dyDescent="0.25">
      <c r="I1186"/>
      <c r="J1186"/>
      <c r="K1186"/>
      <c r="L1186"/>
      <c r="M1186"/>
      <c r="N1186"/>
      <c r="O1186"/>
    </row>
    <row r="1187" spans="9:15" x14ac:dyDescent="0.25">
      <c r="I1187"/>
      <c r="J1187"/>
      <c r="K1187"/>
      <c r="L1187"/>
      <c r="M1187"/>
      <c r="N1187"/>
      <c r="O1187"/>
    </row>
    <row r="1188" spans="9:15" x14ac:dyDescent="0.25">
      <c r="I1188"/>
      <c r="J1188"/>
      <c r="K1188"/>
      <c r="L1188"/>
      <c r="M1188"/>
      <c r="N1188"/>
      <c r="O1188"/>
    </row>
    <row r="1189" spans="9:15" x14ac:dyDescent="0.25">
      <c r="I1189"/>
      <c r="J1189"/>
      <c r="K1189"/>
      <c r="L1189"/>
      <c r="M1189"/>
      <c r="N1189"/>
      <c r="O1189"/>
    </row>
    <row r="1190" spans="9:15" x14ac:dyDescent="0.25">
      <c r="I1190"/>
      <c r="J1190"/>
      <c r="K1190"/>
      <c r="L1190"/>
      <c r="M1190"/>
      <c r="N1190"/>
      <c r="O1190"/>
    </row>
    <row r="1191" spans="9:15" x14ac:dyDescent="0.25">
      <c r="I1191"/>
      <c r="J1191"/>
      <c r="K1191"/>
      <c r="L1191"/>
      <c r="M1191"/>
      <c r="N1191"/>
      <c r="O1191"/>
    </row>
    <row r="1192" spans="9:15" x14ac:dyDescent="0.25">
      <c r="I1192"/>
      <c r="J1192"/>
      <c r="K1192"/>
      <c r="L1192"/>
      <c r="M1192"/>
      <c r="N1192"/>
      <c r="O1192"/>
    </row>
    <row r="1193" spans="9:15" x14ac:dyDescent="0.25">
      <c r="I1193"/>
      <c r="J1193"/>
      <c r="K1193"/>
      <c r="L1193"/>
      <c r="M1193"/>
      <c r="N1193"/>
      <c r="O1193"/>
    </row>
    <row r="1194" spans="9:15" x14ac:dyDescent="0.25">
      <c r="I1194"/>
      <c r="J1194"/>
      <c r="K1194"/>
      <c r="L1194"/>
      <c r="M1194"/>
      <c r="N1194"/>
      <c r="O1194"/>
    </row>
    <row r="1195" spans="9:15" x14ac:dyDescent="0.25">
      <c r="I1195"/>
      <c r="J1195"/>
      <c r="K1195"/>
      <c r="L1195"/>
      <c r="M1195"/>
      <c r="N1195"/>
      <c r="O1195"/>
    </row>
    <row r="1196" spans="9:15" x14ac:dyDescent="0.25">
      <c r="I1196"/>
      <c r="J1196"/>
      <c r="K1196"/>
      <c r="L1196"/>
      <c r="M1196"/>
      <c r="N1196"/>
      <c r="O1196"/>
    </row>
    <row r="1197" spans="9:15" x14ac:dyDescent="0.25">
      <c r="I1197"/>
      <c r="J1197"/>
      <c r="K1197"/>
      <c r="L1197"/>
      <c r="M1197"/>
      <c r="N1197"/>
      <c r="O1197"/>
    </row>
    <row r="1198" spans="9:15" x14ac:dyDescent="0.25">
      <c r="I1198"/>
      <c r="J1198"/>
      <c r="K1198"/>
      <c r="L1198"/>
      <c r="M1198"/>
      <c r="N1198"/>
      <c r="O1198"/>
    </row>
    <row r="1199" spans="9:15" x14ac:dyDescent="0.25">
      <c r="I1199"/>
      <c r="J1199"/>
      <c r="K1199"/>
      <c r="L1199"/>
      <c r="M1199"/>
      <c r="N1199"/>
      <c r="O1199"/>
    </row>
    <row r="1200" spans="9:15" x14ac:dyDescent="0.25">
      <c r="I1200"/>
      <c r="J1200"/>
      <c r="K1200"/>
      <c r="L1200"/>
      <c r="M1200"/>
      <c r="N1200"/>
      <c r="O1200"/>
    </row>
    <row r="1201" spans="9:15" x14ac:dyDescent="0.25">
      <c r="I1201"/>
      <c r="J1201"/>
      <c r="K1201"/>
      <c r="L1201"/>
      <c r="M1201"/>
      <c r="N1201"/>
      <c r="O1201"/>
    </row>
    <row r="1202" spans="9:15" x14ac:dyDescent="0.25">
      <c r="I1202"/>
      <c r="J1202"/>
      <c r="K1202"/>
      <c r="L1202"/>
      <c r="M1202"/>
      <c r="N1202"/>
      <c r="O1202"/>
    </row>
    <row r="1203" spans="9:15" x14ac:dyDescent="0.25">
      <c r="I1203"/>
      <c r="J1203"/>
      <c r="K1203"/>
      <c r="L1203"/>
      <c r="M1203"/>
      <c r="N1203"/>
      <c r="O1203"/>
    </row>
    <row r="1204" spans="9:15" x14ac:dyDescent="0.25">
      <c r="I1204"/>
      <c r="J1204"/>
      <c r="K1204"/>
      <c r="L1204"/>
      <c r="M1204"/>
      <c r="N1204"/>
      <c r="O1204"/>
    </row>
    <row r="1205" spans="9:15" x14ac:dyDescent="0.25">
      <c r="I1205"/>
      <c r="J1205"/>
      <c r="K1205"/>
      <c r="L1205"/>
      <c r="M1205"/>
      <c r="N1205"/>
      <c r="O1205"/>
    </row>
    <row r="1206" spans="9:15" x14ac:dyDescent="0.25">
      <c r="I1206"/>
      <c r="J1206"/>
      <c r="K1206"/>
      <c r="L1206"/>
      <c r="M1206"/>
      <c r="N1206"/>
      <c r="O1206"/>
    </row>
    <row r="1207" spans="9:15" x14ac:dyDescent="0.25">
      <c r="I1207"/>
      <c r="J1207"/>
      <c r="K1207"/>
      <c r="L1207"/>
      <c r="M1207"/>
      <c r="N1207"/>
      <c r="O1207"/>
    </row>
    <row r="1208" spans="9:15" x14ac:dyDescent="0.25">
      <c r="I1208"/>
      <c r="J1208"/>
      <c r="K1208"/>
      <c r="L1208"/>
      <c r="M1208"/>
      <c r="N1208"/>
      <c r="O1208"/>
    </row>
    <row r="1209" spans="9:15" x14ac:dyDescent="0.25">
      <c r="I1209"/>
      <c r="J1209"/>
      <c r="K1209"/>
      <c r="L1209"/>
      <c r="M1209"/>
      <c r="N1209"/>
      <c r="O1209"/>
    </row>
    <row r="1210" spans="9:15" x14ac:dyDescent="0.25">
      <c r="I1210"/>
      <c r="J1210"/>
      <c r="K1210"/>
      <c r="L1210"/>
      <c r="M1210"/>
      <c r="N1210"/>
      <c r="O1210"/>
    </row>
    <row r="1211" spans="9:15" x14ac:dyDescent="0.25">
      <c r="I1211"/>
      <c r="J1211"/>
      <c r="K1211"/>
      <c r="L1211"/>
      <c r="M1211"/>
      <c r="N1211"/>
      <c r="O1211"/>
    </row>
    <row r="1212" spans="9:15" x14ac:dyDescent="0.25">
      <c r="I1212"/>
      <c r="J1212"/>
      <c r="K1212"/>
      <c r="L1212"/>
      <c r="M1212"/>
      <c r="N1212"/>
      <c r="O1212"/>
    </row>
    <row r="1213" spans="9:15" x14ac:dyDescent="0.25">
      <c r="I1213"/>
      <c r="J1213"/>
      <c r="K1213"/>
      <c r="L1213"/>
      <c r="M1213"/>
      <c r="N1213"/>
      <c r="O1213"/>
    </row>
    <row r="1214" spans="9:15" x14ac:dyDescent="0.25">
      <c r="I1214"/>
      <c r="J1214"/>
      <c r="K1214"/>
      <c r="L1214"/>
      <c r="M1214"/>
      <c r="N1214"/>
      <c r="O1214"/>
    </row>
    <row r="1215" spans="9:15" x14ac:dyDescent="0.25">
      <c r="I1215"/>
      <c r="J1215"/>
      <c r="K1215"/>
      <c r="L1215"/>
      <c r="M1215"/>
      <c r="N1215"/>
      <c r="O1215"/>
    </row>
    <row r="1216" spans="9:15" x14ac:dyDescent="0.25">
      <c r="I1216"/>
      <c r="J1216"/>
      <c r="K1216"/>
      <c r="L1216"/>
      <c r="M1216"/>
      <c r="N1216"/>
      <c r="O1216"/>
    </row>
    <row r="1217" spans="9:15" x14ac:dyDescent="0.25">
      <c r="I1217"/>
      <c r="J1217"/>
      <c r="K1217"/>
      <c r="L1217"/>
      <c r="M1217"/>
      <c r="N1217"/>
      <c r="O1217"/>
    </row>
    <row r="1218" spans="9:15" x14ac:dyDescent="0.25">
      <c r="I1218"/>
      <c r="J1218"/>
      <c r="K1218"/>
      <c r="L1218"/>
      <c r="M1218"/>
      <c r="N1218"/>
      <c r="O1218"/>
    </row>
    <row r="1219" spans="9:15" x14ac:dyDescent="0.25">
      <c r="I1219"/>
      <c r="J1219"/>
      <c r="K1219"/>
      <c r="L1219"/>
      <c r="M1219"/>
      <c r="N1219"/>
      <c r="O1219"/>
    </row>
    <row r="1220" spans="9:15" x14ac:dyDescent="0.25">
      <c r="I1220"/>
      <c r="J1220"/>
      <c r="K1220"/>
      <c r="L1220"/>
      <c r="M1220"/>
      <c r="N1220"/>
      <c r="O1220"/>
    </row>
    <row r="1221" spans="9:15" x14ac:dyDescent="0.25">
      <c r="I1221"/>
      <c r="J1221"/>
      <c r="K1221"/>
      <c r="L1221"/>
      <c r="M1221"/>
      <c r="N1221"/>
      <c r="O1221"/>
    </row>
    <row r="1222" spans="9:15" x14ac:dyDescent="0.25">
      <c r="I1222"/>
      <c r="J1222"/>
      <c r="K1222"/>
      <c r="L1222"/>
      <c r="M1222"/>
      <c r="N1222"/>
      <c r="O1222"/>
    </row>
    <row r="1223" spans="9:15" x14ac:dyDescent="0.25">
      <c r="I1223"/>
      <c r="J1223"/>
      <c r="K1223"/>
      <c r="L1223"/>
      <c r="M1223"/>
      <c r="N1223"/>
      <c r="O1223"/>
    </row>
    <row r="1224" spans="9:15" x14ac:dyDescent="0.25">
      <c r="I1224"/>
      <c r="J1224"/>
      <c r="K1224"/>
      <c r="L1224"/>
      <c r="M1224"/>
      <c r="N1224"/>
      <c r="O1224"/>
    </row>
    <row r="1225" spans="9:15" x14ac:dyDescent="0.25">
      <c r="I1225"/>
      <c r="J1225"/>
      <c r="K1225"/>
      <c r="L1225"/>
      <c r="M1225"/>
      <c r="N1225"/>
      <c r="O1225"/>
    </row>
    <row r="1226" spans="9:15" x14ac:dyDescent="0.25">
      <c r="I1226"/>
      <c r="J1226"/>
      <c r="K1226"/>
      <c r="L1226"/>
      <c r="M1226"/>
      <c r="N1226"/>
      <c r="O1226"/>
    </row>
    <row r="1227" spans="9:15" x14ac:dyDescent="0.25">
      <c r="I1227"/>
      <c r="J1227"/>
      <c r="K1227"/>
      <c r="L1227"/>
      <c r="M1227"/>
      <c r="N1227"/>
      <c r="O1227"/>
    </row>
    <row r="1228" spans="9:15" x14ac:dyDescent="0.25">
      <c r="I1228"/>
      <c r="J1228"/>
      <c r="K1228"/>
      <c r="L1228"/>
      <c r="M1228"/>
      <c r="N1228"/>
      <c r="O1228"/>
    </row>
    <row r="1229" spans="9:15" x14ac:dyDescent="0.25">
      <c r="I1229"/>
      <c r="J1229"/>
      <c r="K1229"/>
      <c r="L1229"/>
      <c r="M1229"/>
      <c r="N1229"/>
      <c r="O1229"/>
    </row>
    <row r="1230" spans="9:15" x14ac:dyDescent="0.25">
      <c r="I1230"/>
      <c r="J1230"/>
      <c r="K1230"/>
      <c r="L1230"/>
      <c r="M1230"/>
      <c r="N1230"/>
      <c r="O1230"/>
    </row>
    <row r="1231" spans="9:15" x14ac:dyDescent="0.25">
      <c r="I1231"/>
      <c r="J1231"/>
      <c r="K1231"/>
      <c r="L1231"/>
      <c r="M1231"/>
      <c r="N1231"/>
      <c r="O1231"/>
    </row>
    <row r="1232" spans="9:15" x14ac:dyDescent="0.25">
      <c r="I1232"/>
      <c r="J1232"/>
      <c r="K1232"/>
      <c r="L1232"/>
      <c r="M1232"/>
      <c r="N1232"/>
      <c r="O1232"/>
    </row>
    <row r="1233" spans="9:15" x14ac:dyDescent="0.25">
      <c r="I1233"/>
      <c r="J1233"/>
      <c r="K1233"/>
      <c r="L1233"/>
      <c r="M1233"/>
      <c r="N1233"/>
      <c r="O1233"/>
    </row>
    <row r="1234" spans="9:15" x14ac:dyDescent="0.25">
      <c r="I1234"/>
      <c r="J1234"/>
      <c r="K1234"/>
      <c r="L1234"/>
      <c r="M1234"/>
      <c r="N1234"/>
      <c r="O1234"/>
    </row>
    <row r="1235" spans="9:15" x14ac:dyDescent="0.25">
      <c r="I1235"/>
      <c r="J1235"/>
      <c r="K1235"/>
      <c r="L1235"/>
      <c r="M1235"/>
      <c r="N1235"/>
      <c r="O1235"/>
    </row>
    <row r="1236" spans="9:15" x14ac:dyDescent="0.25">
      <c r="I1236"/>
      <c r="J1236"/>
      <c r="K1236"/>
      <c r="L1236"/>
      <c r="M1236"/>
      <c r="N1236"/>
      <c r="O1236"/>
    </row>
    <row r="1237" spans="9:15" x14ac:dyDescent="0.25">
      <c r="I1237"/>
      <c r="J1237"/>
      <c r="K1237"/>
      <c r="L1237"/>
      <c r="M1237"/>
      <c r="N1237"/>
      <c r="O1237"/>
    </row>
    <row r="1238" spans="9:15" x14ac:dyDescent="0.25">
      <c r="I1238"/>
      <c r="J1238"/>
      <c r="K1238"/>
      <c r="L1238"/>
      <c r="M1238"/>
      <c r="N1238"/>
      <c r="O1238"/>
    </row>
    <row r="1239" spans="9:15" x14ac:dyDescent="0.25">
      <c r="I1239"/>
      <c r="J1239"/>
      <c r="K1239"/>
      <c r="L1239"/>
      <c r="M1239"/>
      <c r="N1239"/>
      <c r="O1239"/>
    </row>
    <row r="1240" spans="9:15" x14ac:dyDescent="0.25">
      <c r="I1240"/>
      <c r="J1240"/>
      <c r="K1240"/>
      <c r="L1240"/>
      <c r="M1240"/>
      <c r="N1240"/>
      <c r="O1240"/>
    </row>
    <row r="1241" spans="9:15" x14ac:dyDescent="0.25">
      <c r="I1241"/>
      <c r="J1241"/>
      <c r="K1241"/>
      <c r="L1241"/>
      <c r="M1241"/>
      <c r="N1241"/>
      <c r="O1241"/>
    </row>
    <row r="1242" spans="9:15" x14ac:dyDescent="0.25">
      <c r="I1242"/>
      <c r="J1242"/>
      <c r="K1242"/>
      <c r="L1242"/>
      <c r="M1242"/>
      <c r="N1242"/>
      <c r="O1242"/>
    </row>
    <row r="1243" spans="9:15" x14ac:dyDescent="0.25">
      <c r="I1243"/>
      <c r="J1243"/>
      <c r="K1243"/>
      <c r="L1243"/>
      <c r="M1243"/>
      <c r="N1243"/>
      <c r="O1243"/>
    </row>
    <row r="1244" spans="9:15" x14ac:dyDescent="0.25">
      <c r="I1244"/>
      <c r="J1244"/>
      <c r="K1244"/>
      <c r="L1244"/>
      <c r="M1244"/>
      <c r="N1244"/>
      <c r="O1244"/>
    </row>
    <row r="1245" spans="9:15" x14ac:dyDescent="0.25">
      <c r="I1245"/>
      <c r="J1245"/>
      <c r="K1245"/>
      <c r="L1245"/>
      <c r="M1245"/>
      <c r="N1245"/>
      <c r="O1245"/>
    </row>
    <row r="1246" spans="9:15" x14ac:dyDescent="0.25">
      <c r="I1246"/>
      <c r="J1246"/>
      <c r="K1246"/>
      <c r="L1246"/>
      <c r="M1246"/>
      <c r="N1246"/>
      <c r="O1246"/>
    </row>
    <row r="1247" spans="9:15" x14ac:dyDescent="0.25">
      <c r="I1247"/>
      <c r="J1247"/>
      <c r="K1247"/>
      <c r="L1247"/>
      <c r="M1247"/>
      <c r="N1247"/>
      <c r="O1247"/>
    </row>
    <row r="1248" spans="9:15" x14ac:dyDescent="0.25">
      <c r="I1248"/>
      <c r="J1248"/>
      <c r="K1248"/>
      <c r="L1248"/>
      <c r="M1248"/>
      <c r="N1248"/>
      <c r="O1248"/>
    </row>
    <row r="1249" spans="9:15" x14ac:dyDescent="0.25">
      <c r="I1249"/>
      <c r="J1249"/>
      <c r="K1249"/>
      <c r="L1249"/>
      <c r="M1249"/>
      <c r="N1249"/>
      <c r="O1249"/>
    </row>
    <row r="1250" spans="9:15" x14ac:dyDescent="0.25">
      <c r="I1250"/>
      <c r="J1250"/>
      <c r="K1250"/>
      <c r="L1250"/>
      <c r="M1250"/>
      <c r="N1250"/>
      <c r="O1250"/>
    </row>
    <row r="1251" spans="9:15" x14ac:dyDescent="0.25">
      <c r="I1251"/>
      <c r="J1251"/>
      <c r="K1251"/>
      <c r="L1251"/>
      <c r="M1251"/>
      <c r="N1251"/>
      <c r="O1251"/>
    </row>
    <row r="1252" spans="9:15" x14ac:dyDescent="0.25">
      <c r="I1252"/>
      <c r="J1252"/>
      <c r="K1252"/>
      <c r="L1252"/>
      <c r="M1252"/>
      <c r="N1252"/>
      <c r="O1252"/>
    </row>
    <row r="1253" spans="9:15" x14ac:dyDescent="0.25">
      <c r="I1253"/>
      <c r="J1253"/>
      <c r="K1253"/>
      <c r="L1253"/>
      <c r="M1253"/>
      <c r="N1253"/>
      <c r="O1253"/>
    </row>
    <row r="1254" spans="9:15" x14ac:dyDescent="0.25">
      <c r="I1254"/>
      <c r="J1254"/>
      <c r="K1254"/>
      <c r="L1254"/>
      <c r="M1254"/>
      <c r="N1254"/>
      <c r="O1254"/>
    </row>
    <row r="1255" spans="9:15" x14ac:dyDescent="0.25">
      <c r="I1255"/>
      <c r="J1255"/>
      <c r="K1255"/>
      <c r="L1255"/>
      <c r="M1255"/>
      <c r="N1255"/>
      <c r="O1255"/>
    </row>
    <row r="1256" spans="9:15" x14ac:dyDescent="0.25">
      <c r="I1256"/>
      <c r="J1256"/>
      <c r="K1256"/>
      <c r="L1256"/>
      <c r="M1256"/>
      <c r="N1256"/>
      <c r="O1256"/>
    </row>
    <row r="1257" spans="9:15" x14ac:dyDescent="0.25">
      <c r="I1257"/>
      <c r="J1257"/>
      <c r="K1257"/>
      <c r="L1257"/>
      <c r="M1257"/>
      <c r="N1257"/>
      <c r="O1257"/>
    </row>
    <row r="1258" spans="9:15" x14ac:dyDescent="0.25">
      <c r="I1258"/>
      <c r="J1258"/>
      <c r="K1258"/>
      <c r="L1258"/>
      <c r="M1258"/>
      <c r="N1258"/>
      <c r="O1258"/>
    </row>
    <row r="1259" spans="9:15" x14ac:dyDescent="0.25">
      <c r="I1259"/>
      <c r="J1259"/>
      <c r="K1259"/>
      <c r="L1259"/>
      <c r="M1259"/>
      <c r="N1259"/>
      <c r="O1259"/>
    </row>
    <row r="1260" spans="9:15" x14ac:dyDescent="0.25">
      <c r="I1260"/>
      <c r="J1260"/>
      <c r="K1260"/>
      <c r="L1260"/>
      <c r="M1260"/>
      <c r="N1260"/>
      <c r="O1260"/>
    </row>
    <row r="1261" spans="9:15" x14ac:dyDescent="0.25">
      <c r="I1261"/>
      <c r="J1261"/>
      <c r="K1261"/>
      <c r="L1261"/>
      <c r="M1261"/>
      <c r="N1261"/>
      <c r="O1261"/>
    </row>
    <row r="1262" spans="9:15" x14ac:dyDescent="0.25">
      <c r="I1262"/>
      <c r="J1262"/>
      <c r="K1262"/>
      <c r="L1262"/>
      <c r="M1262"/>
      <c r="N1262"/>
      <c r="O1262"/>
    </row>
    <row r="1263" spans="9:15" x14ac:dyDescent="0.25">
      <c r="I1263"/>
      <c r="J1263"/>
      <c r="K1263"/>
      <c r="L1263"/>
      <c r="M1263"/>
      <c r="N1263"/>
      <c r="O1263"/>
    </row>
    <row r="1264" spans="9:15" x14ac:dyDescent="0.25">
      <c r="I1264"/>
      <c r="J1264"/>
      <c r="K1264"/>
      <c r="L1264"/>
      <c r="M1264"/>
      <c r="N1264"/>
      <c r="O1264"/>
    </row>
    <row r="1265" spans="9:15" x14ac:dyDescent="0.25">
      <c r="I1265"/>
      <c r="J1265"/>
      <c r="K1265"/>
      <c r="L1265"/>
      <c r="M1265"/>
      <c r="N1265"/>
      <c r="O1265"/>
    </row>
    <row r="1266" spans="9:15" x14ac:dyDescent="0.25">
      <c r="I1266"/>
      <c r="J1266"/>
      <c r="K1266"/>
      <c r="L1266"/>
      <c r="M1266"/>
      <c r="N1266"/>
      <c r="O1266"/>
    </row>
    <row r="1267" spans="9:15" x14ac:dyDescent="0.25">
      <c r="I1267"/>
      <c r="J1267"/>
      <c r="K1267"/>
      <c r="L1267"/>
      <c r="M1267"/>
      <c r="N1267"/>
      <c r="O1267"/>
    </row>
    <row r="1268" spans="9:15" x14ac:dyDescent="0.25">
      <c r="I1268"/>
      <c r="J1268"/>
      <c r="K1268"/>
      <c r="L1268"/>
      <c r="M1268"/>
      <c r="N1268"/>
      <c r="O1268"/>
    </row>
    <row r="1269" spans="9:15" x14ac:dyDescent="0.25">
      <c r="I1269"/>
      <c r="J1269"/>
      <c r="K1269"/>
      <c r="L1269"/>
      <c r="M1269"/>
      <c r="N1269"/>
      <c r="O1269"/>
    </row>
    <row r="1270" spans="9:15" x14ac:dyDescent="0.25">
      <c r="I1270"/>
      <c r="J1270"/>
      <c r="K1270"/>
      <c r="L1270"/>
      <c r="M1270"/>
      <c r="N1270"/>
      <c r="O1270"/>
    </row>
    <row r="1271" spans="9:15" x14ac:dyDescent="0.25">
      <c r="I1271"/>
      <c r="J1271"/>
      <c r="K1271"/>
      <c r="L1271"/>
      <c r="M1271"/>
      <c r="N1271"/>
      <c r="O1271"/>
    </row>
    <row r="1272" spans="9:15" x14ac:dyDescent="0.25">
      <c r="I1272"/>
      <c r="J1272"/>
      <c r="K1272"/>
      <c r="L1272"/>
      <c r="M1272"/>
      <c r="N1272"/>
      <c r="O1272"/>
    </row>
    <row r="1273" spans="9:15" x14ac:dyDescent="0.25">
      <c r="I1273"/>
      <c r="J1273"/>
      <c r="K1273"/>
      <c r="L1273"/>
      <c r="M1273"/>
      <c r="N1273"/>
      <c r="O1273"/>
    </row>
    <row r="1274" spans="9:15" x14ac:dyDescent="0.25">
      <c r="I1274"/>
      <c r="J1274"/>
      <c r="K1274"/>
      <c r="L1274"/>
      <c r="M1274"/>
      <c r="N1274"/>
      <c r="O1274"/>
    </row>
    <row r="1275" spans="9:15" x14ac:dyDescent="0.25">
      <c r="I1275"/>
      <c r="J1275"/>
      <c r="K1275"/>
      <c r="L1275"/>
      <c r="M1275"/>
      <c r="N1275"/>
      <c r="O1275"/>
    </row>
    <row r="1276" spans="9:15" x14ac:dyDescent="0.25">
      <c r="I1276"/>
      <c r="J1276"/>
      <c r="K1276"/>
      <c r="L1276"/>
      <c r="M1276"/>
      <c r="N1276"/>
      <c r="O1276"/>
    </row>
    <row r="1277" spans="9:15" x14ac:dyDescent="0.25">
      <c r="I1277"/>
      <c r="J1277"/>
      <c r="K1277"/>
      <c r="L1277"/>
      <c r="M1277"/>
      <c r="N1277"/>
      <c r="O1277"/>
    </row>
    <row r="1278" spans="9:15" x14ac:dyDescent="0.25">
      <c r="I1278"/>
      <c r="J1278"/>
      <c r="K1278"/>
      <c r="L1278"/>
      <c r="M1278"/>
      <c r="N1278"/>
      <c r="O1278"/>
    </row>
    <row r="1279" spans="9:15" x14ac:dyDescent="0.25">
      <c r="I1279"/>
      <c r="J1279"/>
      <c r="K1279"/>
      <c r="L1279"/>
      <c r="M1279"/>
      <c r="N1279"/>
      <c r="O1279"/>
    </row>
    <row r="1280" spans="9:15" x14ac:dyDescent="0.25">
      <c r="I1280"/>
      <c r="J1280"/>
      <c r="K1280"/>
      <c r="L1280"/>
      <c r="M1280"/>
      <c r="N1280"/>
      <c r="O1280"/>
    </row>
    <row r="1281" spans="9:15" x14ac:dyDescent="0.25">
      <c r="I1281"/>
      <c r="J1281"/>
      <c r="K1281"/>
      <c r="L1281"/>
      <c r="M1281"/>
      <c r="N1281"/>
      <c r="O1281"/>
    </row>
    <row r="1282" spans="9:15" x14ac:dyDescent="0.25">
      <c r="I1282"/>
      <c r="J1282"/>
      <c r="K1282"/>
      <c r="L1282"/>
      <c r="M1282"/>
      <c r="N1282"/>
      <c r="O1282"/>
    </row>
    <row r="1283" spans="9:15" x14ac:dyDescent="0.25">
      <c r="I1283"/>
      <c r="J1283"/>
      <c r="K1283"/>
      <c r="L1283"/>
      <c r="M1283"/>
      <c r="N1283"/>
      <c r="O1283"/>
    </row>
    <row r="1284" spans="9:15" x14ac:dyDescent="0.25">
      <c r="I1284"/>
      <c r="J1284"/>
      <c r="K1284"/>
      <c r="L1284"/>
      <c r="M1284"/>
      <c r="N1284"/>
      <c r="O1284"/>
    </row>
    <row r="1285" spans="9:15" x14ac:dyDescent="0.25">
      <c r="I1285"/>
      <c r="J1285"/>
      <c r="K1285"/>
      <c r="L1285"/>
      <c r="M1285"/>
      <c r="N1285"/>
      <c r="O1285"/>
    </row>
    <row r="1286" spans="9:15" x14ac:dyDescent="0.25">
      <c r="I1286"/>
      <c r="J1286"/>
      <c r="K1286"/>
      <c r="L1286"/>
      <c r="M1286"/>
      <c r="N1286"/>
      <c r="O1286"/>
    </row>
    <row r="1287" spans="9:15" x14ac:dyDescent="0.25">
      <c r="I1287"/>
      <c r="J1287"/>
      <c r="K1287"/>
      <c r="L1287"/>
      <c r="M1287"/>
      <c r="N1287"/>
      <c r="O1287"/>
    </row>
    <row r="1288" spans="9:15" x14ac:dyDescent="0.25">
      <c r="I1288"/>
      <c r="J1288"/>
      <c r="K1288"/>
      <c r="L1288"/>
      <c r="M1288"/>
      <c r="N1288"/>
      <c r="O1288"/>
    </row>
    <row r="1289" spans="9:15" x14ac:dyDescent="0.25">
      <c r="I1289"/>
      <c r="J1289"/>
      <c r="K1289"/>
      <c r="L1289"/>
      <c r="M1289"/>
      <c r="N1289"/>
      <c r="O1289"/>
    </row>
    <row r="1290" spans="9:15" x14ac:dyDescent="0.25">
      <c r="I1290"/>
      <c r="J1290"/>
      <c r="K1290"/>
      <c r="L1290"/>
      <c r="M1290"/>
      <c r="N1290"/>
      <c r="O1290"/>
    </row>
    <row r="1291" spans="9:15" x14ac:dyDescent="0.25">
      <c r="I1291"/>
      <c r="J1291"/>
      <c r="K1291"/>
      <c r="L1291"/>
      <c r="M1291"/>
      <c r="N1291"/>
      <c r="O1291"/>
    </row>
    <row r="1292" spans="9:15" x14ac:dyDescent="0.25">
      <c r="I1292"/>
      <c r="J1292"/>
      <c r="K1292"/>
      <c r="L1292"/>
      <c r="M1292"/>
      <c r="N1292"/>
      <c r="O1292"/>
    </row>
    <row r="1293" spans="9:15" x14ac:dyDescent="0.25">
      <c r="I1293"/>
      <c r="J1293"/>
      <c r="K1293"/>
      <c r="L1293"/>
      <c r="M1293"/>
      <c r="N1293"/>
      <c r="O1293"/>
    </row>
    <row r="1294" spans="9:15" x14ac:dyDescent="0.25">
      <c r="I1294"/>
      <c r="J1294"/>
      <c r="K1294"/>
      <c r="L1294"/>
      <c r="M1294"/>
      <c r="N1294"/>
      <c r="O1294"/>
    </row>
    <row r="1295" spans="9:15" x14ac:dyDescent="0.25">
      <c r="I1295"/>
      <c r="J1295"/>
      <c r="K1295"/>
      <c r="L1295"/>
      <c r="M1295"/>
      <c r="N1295"/>
      <c r="O1295"/>
    </row>
    <row r="1296" spans="9:15" x14ac:dyDescent="0.25">
      <c r="I1296"/>
      <c r="J1296"/>
      <c r="K1296"/>
      <c r="L1296"/>
      <c r="M1296"/>
      <c r="N1296"/>
      <c r="O1296"/>
    </row>
    <row r="1297" spans="9:15" x14ac:dyDescent="0.25">
      <c r="I1297"/>
      <c r="J1297"/>
      <c r="K1297"/>
      <c r="L1297"/>
      <c r="M1297"/>
      <c r="N1297"/>
      <c r="O1297"/>
    </row>
    <row r="1298" spans="9:15" x14ac:dyDescent="0.25">
      <c r="I1298"/>
      <c r="J1298"/>
      <c r="K1298"/>
      <c r="L1298"/>
      <c r="M1298"/>
      <c r="N1298"/>
      <c r="O1298"/>
    </row>
    <row r="1299" spans="9:15" x14ac:dyDescent="0.25">
      <c r="I1299"/>
      <c r="J1299"/>
      <c r="K1299"/>
      <c r="L1299"/>
      <c r="M1299"/>
      <c r="N1299"/>
      <c r="O1299"/>
    </row>
    <row r="1300" spans="9:15" x14ac:dyDescent="0.25">
      <c r="I1300"/>
      <c r="J1300"/>
      <c r="K1300"/>
      <c r="L1300"/>
      <c r="M1300"/>
      <c r="N1300"/>
      <c r="O1300"/>
    </row>
    <row r="1301" spans="9:15" x14ac:dyDescent="0.25">
      <c r="I1301"/>
      <c r="J1301"/>
      <c r="K1301"/>
      <c r="L1301"/>
      <c r="M1301"/>
      <c r="N1301"/>
      <c r="O1301"/>
    </row>
    <row r="1302" spans="9:15" x14ac:dyDescent="0.25">
      <c r="I1302"/>
      <c r="J1302"/>
      <c r="K1302"/>
      <c r="L1302"/>
      <c r="M1302"/>
      <c r="N1302"/>
      <c r="O1302"/>
    </row>
    <row r="1303" spans="9:15" x14ac:dyDescent="0.25">
      <c r="I1303"/>
      <c r="J1303"/>
      <c r="K1303"/>
      <c r="L1303"/>
      <c r="M1303"/>
      <c r="N1303"/>
      <c r="O1303"/>
    </row>
    <row r="1304" spans="9:15" x14ac:dyDescent="0.25">
      <c r="I1304"/>
      <c r="J1304"/>
      <c r="K1304"/>
      <c r="L1304"/>
      <c r="M1304"/>
      <c r="N1304"/>
      <c r="O1304"/>
    </row>
    <row r="1305" spans="9:15" x14ac:dyDescent="0.25">
      <c r="I1305"/>
      <c r="J1305"/>
      <c r="K1305"/>
      <c r="L1305"/>
      <c r="M1305"/>
      <c r="N1305"/>
      <c r="O1305"/>
    </row>
    <row r="1306" spans="9:15" x14ac:dyDescent="0.25">
      <c r="I1306"/>
      <c r="J1306"/>
      <c r="K1306"/>
      <c r="L1306"/>
      <c r="M1306"/>
      <c r="N1306"/>
      <c r="O1306"/>
    </row>
    <row r="1307" spans="9:15" x14ac:dyDescent="0.25">
      <c r="I1307"/>
      <c r="J1307"/>
      <c r="K1307"/>
      <c r="L1307"/>
      <c r="M1307"/>
      <c r="N1307"/>
      <c r="O1307"/>
    </row>
    <row r="1308" spans="9:15" x14ac:dyDescent="0.25">
      <c r="I1308"/>
      <c r="J1308"/>
      <c r="K1308"/>
      <c r="L1308"/>
      <c r="M1308"/>
      <c r="N1308"/>
      <c r="O1308"/>
    </row>
    <row r="1309" spans="9:15" x14ac:dyDescent="0.25">
      <c r="I1309"/>
      <c r="J1309"/>
      <c r="K1309"/>
      <c r="L1309"/>
      <c r="M1309"/>
      <c r="N1309"/>
      <c r="O1309"/>
    </row>
    <row r="1310" spans="9:15" x14ac:dyDescent="0.25">
      <c r="I1310"/>
      <c r="J1310"/>
      <c r="K1310"/>
      <c r="L1310"/>
      <c r="M1310"/>
      <c r="N1310"/>
      <c r="O1310"/>
    </row>
    <row r="1311" spans="9:15" x14ac:dyDescent="0.25">
      <c r="I1311"/>
      <c r="J1311"/>
      <c r="K1311"/>
      <c r="L1311"/>
      <c r="M1311"/>
      <c r="N1311"/>
      <c r="O1311"/>
    </row>
    <row r="1312" spans="9:15" x14ac:dyDescent="0.25">
      <c r="I1312"/>
      <c r="J1312"/>
      <c r="K1312"/>
      <c r="L1312"/>
      <c r="M1312"/>
      <c r="N1312"/>
      <c r="O1312"/>
    </row>
    <row r="1313" spans="9:15" x14ac:dyDescent="0.25">
      <c r="I1313"/>
      <c r="J1313"/>
      <c r="K1313"/>
      <c r="L1313"/>
      <c r="M1313"/>
      <c r="N1313"/>
      <c r="O1313"/>
    </row>
    <row r="1314" spans="9:15" x14ac:dyDescent="0.25">
      <c r="I1314"/>
      <c r="J1314"/>
      <c r="K1314"/>
      <c r="L1314"/>
      <c r="M1314"/>
      <c r="N1314"/>
      <c r="O1314"/>
    </row>
    <row r="1315" spans="9:15" x14ac:dyDescent="0.25">
      <c r="I1315"/>
      <c r="J1315"/>
      <c r="K1315"/>
      <c r="L1315"/>
      <c r="M1315"/>
      <c r="N1315"/>
      <c r="O1315"/>
    </row>
    <row r="1316" spans="9:15" x14ac:dyDescent="0.25">
      <c r="I1316"/>
      <c r="J1316"/>
      <c r="K1316"/>
      <c r="L1316"/>
      <c r="M1316"/>
      <c r="N1316"/>
      <c r="O1316"/>
    </row>
    <row r="1317" spans="9:15" x14ac:dyDescent="0.25">
      <c r="I1317"/>
      <c r="J1317"/>
      <c r="K1317"/>
      <c r="L1317"/>
      <c r="M1317"/>
      <c r="N1317"/>
      <c r="O1317"/>
    </row>
    <row r="1318" spans="9:15" x14ac:dyDescent="0.25">
      <c r="I1318"/>
      <c r="J1318"/>
      <c r="K1318"/>
      <c r="L1318"/>
      <c r="M1318"/>
      <c r="N1318"/>
      <c r="O1318"/>
    </row>
    <row r="1319" spans="9:15" x14ac:dyDescent="0.25">
      <c r="I1319"/>
      <c r="J1319"/>
      <c r="K1319"/>
      <c r="L1319"/>
      <c r="M1319"/>
      <c r="N1319"/>
      <c r="O1319"/>
    </row>
    <row r="1320" spans="9:15" x14ac:dyDescent="0.25">
      <c r="I1320"/>
      <c r="J1320"/>
      <c r="K1320"/>
      <c r="L1320"/>
      <c r="M1320"/>
      <c r="N1320"/>
      <c r="O1320"/>
    </row>
    <row r="1321" spans="9:15" x14ac:dyDescent="0.25">
      <c r="I1321"/>
      <c r="J1321"/>
      <c r="K1321"/>
      <c r="L1321"/>
      <c r="M1321"/>
      <c r="N1321"/>
      <c r="O1321"/>
    </row>
    <row r="1322" spans="9:15" x14ac:dyDescent="0.25">
      <c r="I1322"/>
      <c r="J1322"/>
      <c r="K1322"/>
      <c r="L1322"/>
      <c r="M1322"/>
      <c r="N1322"/>
      <c r="O1322"/>
    </row>
    <row r="1323" spans="9:15" x14ac:dyDescent="0.25">
      <c r="I1323"/>
      <c r="J1323"/>
      <c r="K1323"/>
      <c r="L1323"/>
      <c r="M1323"/>
      <c r="N1323"/>
      <c r="O1323"/>
    </row>
    <row r="1324" spans="9:15" x14ac:dyDescent="0.25">
      <c r="I1324"/>
      <c r="J1324"/>
      <c r="K1324"/>
      <c r="L1324"/>
      <c r="M1324"/>
      <c r="N1324"/>
      <c r="O1324"/>
    </row>
    <row r="1325" spans="9:15" x14ac:dyDescent="0.25">
      <c r="I1325"/>
      <c r="J1325"/>
      <c r="K1325"/>
      <c r="L1325"/>
      <c r="M1325"/>
      <c r="N1325"/>
      <c r="O1325"/>
    </row>
    <row r="1326" spans="9:15" x14ac:dyDescent="0.25">
      <c r="I1326"/>
      <c r="J1326"/>
      <c r="K1326"/>
      <c r="L1326"/>
      <c r="M1326"/>
      <c r="N1326"/>
      <c r="O1326"/>
    </row>
    <row r="1327" spans="9:15" x14ac:dyDescent="0.25">
      <c r="I1327"/>
      <c r="J1327"/>
      <c r="K1327"/>
      <c r="L1327"/>
      <c r="M1327"/>
      <c r="N1327"/>
      <c r="O1327"/>
    </row>
    <row r="1328" spans="9:15" x14ac:dyDescent="0.25">
      <c r="I1328"/>
      <c r="J1328"/>
      <c r="K1328"/>
      <c r="L1328"/>
      <c r="M1328"/>
      <c r="N1328"/>
      <c r="O1328"/>
    </row>
    <row r="1329" spans="9:15" x14ac:dyDescent="0.25">
      <c r="I1329"/>
      <c r="J1329"/>
      <c r="K1329"/>
      <c r="L1329"/>
      <c r="M1329"/>
      <c r="N1329"/>
      <c r="O1329"/>
    </row>
    <row r="1330" spans="9:15" x14ac:dyDescent="0.25">
      <c r="I1330"/>
      <c r="J1330"/>
      <c r="K1330"/>
      <c r="L1330"/>
      <c r="M1330"/>
      <c r="N1330"/>
      <c r="O1330"/>
    </row>
    <row r="1331" spans="9:15" x14ac:dyDescent="0.25">
      <c r="I1331"/>
      <c r="J1331"/>
      <c r="K1331"/>
      <c r="L1331"/>
      <c r="M1331"/>
      <c r="N1331"/>
      <c r="O1331"/>
    </row>
    <row r="1332" spans="9:15" x14ac:dyDescent="0.25">
      <c r="I1332"/>
      <c r="J1332"/>
      <c r="K1332"/>
      <c r="L1332"/>
      <c r="M1332"/>
      <c r="N1332"/>
      <c r="O1332"/>
    </row>
    <row r="1333" spans="9:15" x14ac:dyDescent="0.25">
      <c r="I1333"/>
      <c r="J1333"/>
      <c r="K1333"/>
      <c r="L1333"/>
      <c r="M1333"/>
      <c r="N1333"/>
      <c r="O1333"/>
    </row>
    <row r="1334" spans="9:15" x14ac:dyDescent="0.25">
      <c r="I1334"/>
      <c r="J1334"/>
      <c r="K1334"/>
      <c r="L1334"/>
      <c r="M1334"/>
      <c r="N1334"/>
      <c r="O1334"/>
    </row>
    <row r="1335" spans="9:15" x14ac:dyDescent="0.25">
      <c r="I1335"/>
      <c r="J1335"/>
      <c r="K1335"/>
      <c r="L1335"/>
      <c r="M1335"/>
      <c r="N1335"/>
      <c r="O1335"/>
    </row>
    <row r="1336" spans="9:15" x14ac:dyDescent="0.25">
      <c r="I1336"/>
      <c r="J1336"/>
      <c r="K1336"/>
      <c r="L1336"/>
      <c r="M1336"/>
      <c r="N1336"/>
      <c r="O1336"/>
    </row>
    <row r="1337" spans="9:15" x14ac:dyDescent="0.25">
      <c r="I1337"/>
      <c r="J1337"/>
      <c r="K1337"/>
      <c r="L1337"/>
      <c r="M1337"/>
      <c r="N1337"/>
      <c r="O1337"/>
    </row>
    <row r="1338" spans="9:15" x14ac:dyDescent="0.25">
      <c r="I1338"/>
      <c r="J1338"/>
      <c r="K1338"/>
      <c r="L1338"/>
      <c r="M1338"/>
      <c r="N1338"/>
      <c r="O1338"/>
    </row>
    <row r="1339" spans="9:15" x14ac:dyDescent="0.25">
      <c r="I1339"/>
      <c r="J1339"/>
      <c r="K1339"/>
      <c r="L1339"/>
      <c r="M1339"/>
      <c r="N1339"/>
      <c r="O1339"/>
    </row>
    <row r="1340" spans="9:15" x14ac:dyDescent="0.25">
      <c r="I1340"/>
      <c r="J1340"/>
      <c r="K1340"/>
      <c r="L1340"/>
      <c r="M1340"/>
      <c r="N1340"/>
      <c r="O1340"/>
    </row>
    <row r="1341" spans="9:15" x14ac:dyDescent="0.25">
      <c r="I1341"/>
      <c r="J1341"/>
      <c r="K1341"/>
      <c r="L1341"/>
      <c r="M1341"/>
      <c r="N1341"/>
      <c r="O1341"/>
    </row>
    <row r="1342" spans="9:15" x14ac:dyDescent="0.25">
      <c r="I1342"/>
      <c r="J1342"/>
      <c r="K1342"/>
      <c r="L1342"/>
      <c r="M1342"/>
      <c r="N1342"/>
      <c r="O1342"/>
    </row>
    <row r="1343" spans="9:15" x14ac:dyDescent="0.25">
      <c r="I1343"/>
      <c r="J1343"/>
      <c r="K1343"/>
      <c r="L1343"/>
      <c r="M1343"/>
      <c r="N1343"/>
      <c r="O1343"/>
    </row>
    <row r="1344" spans="9:15" x14ac:dyDescent="0.25">
      <c r="I1344"/>
      <c r="J1344"/>
      <c r="K1344"/>
      <c r="L1344"/>
      <c r="M1344"/>
      <c r="N1344"/>
      <c r="O1344"/>
    </row>
    <row r="1345" spans="9:15" x14ac:dyDescent="0.25">
      <c r="I1345"/>
      <c r="J1345"/>
      <c r="K1345"/>
      <c r="L1345"/>
      <c r="M1345"/>
      <c r="N1345"/>
      <c r="O1345"/>
    </row>
    <row r="1346" spans="9:15" x14ac:dyDescent="0.25">
      <c r="I1346"/>
      <c r="J1346"/>
      <c r="K1346"/>
      <c r="L1346"/>
      <c r="M1346"/>
      <c r="N1346"/>
      <c r="O1346"/>
    </row>
    <row r="1347" spans="9:15" x14ac:dyDescent="0.25">
      <c r="I1347"/>
      <c r="J1347"/>
      <c r="K1347"/>
      <c r="L1347"/>
      <c r="M1347"/>
      <c r="N1347"/>
      <c r="O1347"/>
    </row>
    <row r="1348" spans="9:15" x14ac:dyDescent="0.25">
      <c r="I1348"/>
      <c r="J1348"/>
      <c r="K1348"/>
      <c r="L1348"/>
      <c r="M1348"/>
      <c r="N1348"/>
      <c r="O1348"/>
    </row>
    <row r="1349" spans="9:15" x14ac:dyDescent="0.25">
      <c r="I1349"/>
      <c r="J1349"/>
      <c r="K1349"/>
      <c r="L1349"/>
      <c r="M1349"/>
      <c r="N1349"/>
      <c r="O1349"/>
    </row>
    <row r="1350" spans="9:15" x14ac:dyDescent="0.25">
      <c r="I1350"/>
      <c r="J1350"/>
      <c r="K1350"/>
      <c r="L1350"/>
      <c r="M1350"/>
      <c r="N1350"/>
      <c r="O1350"/>
    </row>
    <row r="1351" spans="9:15" x14ac:dyDescent="0.25">
      <c r="I1351"/>
      <c r="J1351"/>
      <c r="K1351"/>
      <c r="L1351"/>
      <c r="M1351"/>
      <c r="N1351"/>
      <c r="O1351"/>
    </row>
    <row r="1352" spans="9:15" x14ac:dyDescent="0.25">
      <c r="I1352"/>
      <c r="J1352"/>
      <c r="K1352"/>
      <c r="L1352"/>
      <c r="M1352"/>
      <c r="N1352"/>
      <c r="O1352"/>
    </row>
    <row r="1353" spans="9:15" x14ac:dyDescent="0.25">
      <c r="I1353"/>
      <c r="J1353"/>
      <c r="K1353"/>
      <c r="L1353"/>
      <c r="M1353"/>
      <c r="N1353"/>
      <c r="O1353"/>
    </row>
    <row r="1354" spans="9:15" x14ac:dyDescent="0.25">
      <c r="I1354"/>
      <c r="J1354"/>
      <c r="K1354"/>
      <c r="L1354"/>
      <c r="M1354"/>
      <c r="N1354"/>
      <c r="O1354"/>
    </row>
    <row r="1355" spans="9:15" x14ac:dyDescent="0.25">
      <c r="I1355"/>
      <c r="J1355"/>
      <c r="K1355"/>
      <c r="L1355"/>
      <c r="M1355"/>
      <c r="N1355"/>
      <c r="O1355"/>
    </row>
    <row r="1356" spans="9:15" x14ac:dyDescent="0.25">
      <c r="I1356"/>
      <c r="J1356"/>
      <c r="K1356"/>
      <c r="L1356"/>
      <c r="M1356"/>
      <c r="N1356"/>
      <c r="O1356"/>
    </row>
    <row r="1357" spans="9:15" x14ac:dyDescent="0.25">
      <c r="I1357"/>
      <c r="J1357"/>
      <c r="K1357"/>
      <c r="L1357"/>
      <c r="M1357"/>
      <c r="N1357"/>
      <c r="O1357"/>
    </row>
    <row r="1358" spans="9:15" x14ac:dyDescent="0.25">
      <c r="I1358"/>
      <c r="J1358"/>
      <c r="K1358"/>
      <c r="L1358"/>
      <c r="M1358"/>
      <c r="N1358"/>
      <c r="O1358"/>
    </row>
    <row r="1359" spans="9:15" x14ac:dyDescent="0.25">
      <c r="I1359"/>
      <c r="J1359"/>
      <c r="K1359"/>
      <c r="L1359"/>
      <c r="M1359"/>
      <c r="N1359"/>
      <c r="O1359"/>
    </row>
    <row r="1360" spans="9:15" x14ac:dyDescent="0.25">
      <c r="I1360"/>
      <c r="J1360"/>
      <c r="K1360"/>
      <c r="L1360"/>
      <c r="M1360"/>
      <c r="N1360"/>
      <c r="O1360"/>
    </row>
    <row r="1361" spans="9:15" x14ac:dyDescent="0.25">
      <c r="I1361"/>
      <c r="J1361"/>
      <c r="K1361"/>
      <c r="L1361"/>
      <c r="M1361"/>
      <c r="N1361"/>
      <c r="O1361"/>
    </row>
    <row r="1362" spans="9:15" x14ac:dyDescent="0.25">
      <c r="I1362"/>
      <c r="J1362"/>
      <c r="K1362"/>
      <c r="L1362"/>
      <c r="M1362"/>
      <c r="N1362"/>
      <c r="O1362"/>
    </row>
    <row r="1363" spans="9:15" x14ac:dyDescent="0.25">
      <c r="I1363"/>
      <c r="J1363"/>
      <c r="K1363"/>
      <c r="L1363"/>
      <c r="M1363"/>
      <c r="N1363"/>
      <c r="O1363"/>
    </row>
    <row r="1364" spans="9:15" x14ac:dyDescent="0.25">
      <c r="I1364"/>
      <c r="J1364"/>
      <c r="K1364"/>
      <c r="L1364"/>
      <c r="M1364"/>
      <c r="N1364"/>
      <c r="O1364"/>
    </row>
    <row r="1365" spans="9:15" x14ac:dyDescent="0.25">
      <c r="I1365"/>
      <c r="J1365"/>
      <c r="K1365"/>
      <c r="L1365"/>
      <c r="M1365"/>
      <c r="N1365"/>
      <c r="O1365"/>
    </row>
    <row r="1366" spans="9:15" x14ac:dyDescent="0.25">
      <c r="I1366"/>
      <c r="J1366"/>
      <c r="K1366"/>
      <c r="L1366"/>
      <c r="M1366"/>
      <c r="N1366"/>
      <c r="O1366"/>
    </row>
    <row r="1367" spans="9:15" x14ac:dyDescent="0.25">
      <c r="I1367"/>
      <c r="J1367"/>
      <c r="K1367"/>
      <c r="L1367"/>
      <c r="M1367"/>
      <c r="N1367"/>
      <c r="O1367"/>
    </row>
    <row r="1368" spans="9:15" x14ac:dyDescent="0.25">
      <c r="I1368"/>
      <c r="J1368"/>
      <c r="K1368"/>
      <c r="L1368"/>
      <c r="M1368"/>
      <c r="N1368"/>
      <c r="O1368"/>
    </row>
    <row r="1369" spans="9:15" x14ac:dyDescent="0.25">
      <c r="I1369"/>
      <c r="J1369"/>
      <c r="K1369"/>
      <c r="L1369"/>
      <c r="M1369"/>
      <c r="N1369"/>
      <c r="O1369"/>
    </row>
    <row r="1370" spans="9:15" x14ac:dyDescent="0.25">
      <c r="I1370"/>
      <c r="J1370"/>
      <c r="K1370"/>
      <c r="L1370"/>
      <c r="M1370"/>
      <c r="N1370"/>
      <c r="O1370"/>
    </row>
    <row r="1371" spans="9:15" x14ac:dyDescent="0.25">
      <c r="I1371"/>
      <c r="J1371"/>
      <c r="K1371"/>
      <c r="L1371"/>
      <c r="M1371"/>
      <c r="N1371"/>
      <c r="O1371"/>
    </row>
    <row r="1372" spans="9:15" x14ac:dyDescent="0.25">
      <c r="I1372"/>
      <c r="J1372"/>
      <c r="K1372"/>
      <c r="L1372"/>
      <c r="M1372"/>
      <c r="N1372"/>
      <c r="O1372"/>
    </row>
    <row r="1373" spans="9:15" x14ac:dyDescent="0.25">
      <c r="I1373"/>
      <c r="J1373"/>
      <c r="K1373"/>
      <c r="L1373"/>
      <c r="M1373"/>
      <c r="N1373"/>
      <c r="O1373"/>
    </row>
    <row r="1374" spans="9:15" x14ac:dyDescent="0.25">
      <c r="I1374"/>
      <c r="J1374"/>
      <c r="K1374"/>
      <c r="L1374"/>
      <c r="M1374"/>
      <c r="N1374"/>
      <c r="O1374"/>
    </row>
    <row r="1375" spans="9:15" x14ac:dyDescent="0.25">
      <c r="I1375"/>
      <c r="J1375"/>
      <c r="K1375"/>
      <c r="L1375"/>
      <c r="M1375"/>
      <c r="N1375"/>
      <c r="O1375"/>
    </row>
    <row r="1376" spans="9:15" x14ac:dyDescent="0.25">
      <c r="I1376"/>
      <c r="J1376"/>
      <c r="K1376"/>
      <c r="L1376"/>
      <c r="M1376"/>
      <c r="N1376"/>
      <c r="O1376"/>
    </row>
    <row r="1377" spans="9:15" x14ac:dyDescent="0.25">
      <c r="I1377"/>
      <c r="J1377"/>
      <c r="K1377"/>
      <c r="L1377"/>
      <c r="M1377"/>
      <c r="N1377"/>
      <c r="O1377"/>
    </row>
    <row r="1378" spans="9:15" x14ac:dyDescent="0.25">
      <c r="I1378"/>
      <c r="J1378"/>
      <c r="K1378"/>
      <c r="L1378"/>
      <c r="M1378"/>
      <c r="N1378"/>
      <c r="O1378"/>
    </row>
    <row r="1379" spans="9:15" x14ac:dyDescent="0.25">
      <c r="I1379"/>
      <c r="J1379"/>
      <c r="K1379"/>
      <c r="L1379"/>
      <c r="M1379"/>
      <c r="N1379"/>
      <c r="O1379"/>
    </row>
    <row r="1380" spans="9:15" x14ac:dyDescent="0.25">
      <c r="I1380"/>
      <c r="J1380"/>
      <c r="K1380"/>
      <c r="L1380"/>
      <c r="M1380"/>
      <c r="N1380"/>
      <c r="O1380"/>
    </row>
    <row r="1381" spans="9:15" x14ac:dyDescent="0.25">
      <c r="I1381"/>
      <c r="J1381"/>
      <c r="K1381"/>
      <c r="L1381"/>
      <c r="M1381"/>
      <c r="N1381"/>
      <c r="O1381"/>
    </row>
    <row r="1382" spans="9:15" x14ac:dyDescent="0.25">
      <c r="I1382"/>
      <c r="J1382"/>
      <c r="K1382"/>
      <c r="L1382"/>
      <c r="M1382"/>
      <c r="N1382"/>
      <c r="O1382"/>
    </row>
    <row r="1383" spans="9:15" x14ac:dyDescent="0.25">
      <c r="I1383"/>
      <c r="J1383"/>
      <c r="K1383"/>
      <c r="L1383"/>
      <c r="M1383"/>
      <c r="N1383"/>
      <c r="O1383"/>
    </row>
    <row r="1384" spans="9:15" x14ac:dyDescent="0.25">
      <c r="I1384"/>
      <c r="J1384"/>
      <c r="K1384"/>
      <c r="L1384"/>
      <c r="M1384"/>
      <c r="N1384"/>
      <c r="O1384"/>
    </row>
    <row r="1385" spans="9:15" x14ac:dyDescent="0.25">
      <c r="I1385"/>
      <c r="J1385"/>
      <c r="K1385"/>
      <c r="L1385"/>
      <c r="M1385"/>
      <c r="N1385"/>
      <c r="O1385"/>
    </row>
    <row r="1386" spans="9:15" x14ac:dyDescent="0.25">
      <c r="I1386"/>
      <c r="J1386"/>
      <c r="K1386"/>
      <c r="L1386"/>
      <c r="M1386"/>
      <c r="N1386"/>
      <c r="O1386"/>
    </row>
    <row r="1387" spans="9:15" x14ac:dyDescent="0.25">
      <c r="I1387"/>
      <c r="J1387"/>
      <c r="K1387"/>
      <c r="L1387"/>
      <c r="M1387"/>
      <c r="N1387"/>
      <c r="O1387"/>
    </row>
    <row r="1388" spans="9:15" x14ac:dyDescent="0.25">
      <c r="I1388"/>
      <c r="J1388"/>
      <c r="K1388"/>
      <c r="L1388"/>
      <c r="M1388"/>
      <c r="N1388"/>
      <c r="O1388"/>
    </row>
    <row r="1389" spans="9:15" x14ac:dyDescent="0.25">
      <c r="I1389"/>
      <c r="J1389"/>
      <c r="K1389"/>
      <c r="L1389"/>
      <c r="M1389"/>
      <c r="N1389"/>
      <c r="O1389"/>
    </row>
    <row r="1390" spans="9:15" x14ac:dyDescent="0.25">
      <c r="I1390"/>
      <c r="J1390"/>
      <c r="K1390"/>
      <c r="L1390"/>
      <c r="M1390"/>
      <c r="N1390"/>
      <c r="O1390"/>
    </row>
    <row r="1391" spans="9:15" x14ac:dyDescent="0.25">
      <c r="I1391"/>
      <c r="J1391"/>
      <c r="K1391"/>
      <c r="L1391"/>
      <c r="M1391"/>
      <c r="N1391"/>
      <c r="O1391"/>
    </row>
    <row r="1392" spans="9:15" x14ac:dyDescent="0.25">
      <c r="I1392"/>
      <c r="J1392"/>
      <c r="K1392"/>
      <c r="L1392"/>
      <c r="M1392"/>
      <c r="N1392"/>
      <c r="O1392"/>
    </row>
    <row r="1393" spans="9:15" x14ac:dyDescent="0.25">
      <c r="I1393"/>
      <c r="J1393"/>
      <c r="K1393"/>
      <c r="L1393"/>
      <c r="M1393"/>
      <c r="N1393"/>
      <c r="O1393"/>
    </row>
    <row r="1394" spans="9:15" x14ac:dyDescent="0.25">
      <c r="I1394"/>
      <c r="J1394"/>
      <c r="K1394"/>
      <c r="L1394"/>
      <c r="M1394"/>
      <c r="N1394"/>
      <c r="O1394"/>
    </row>
    <row r="1395" spans="9:15" x14ac:dyDescent="0.25">
      <c r="I1395"/>
      <c r="J1395"/>
      <c r="K1395"/>
      <c r="L1395"/>
      <c r="M1395"/>
      <c r="N1395"/>
      <c r="O1395"/>
    </row>
    <row r="1396" spans="9:15" x14ac:dyDescent="0.25">
      <c r="I1396"/>
      <c r="J1396"/>
      <c r="K1396"/>
      <c r="L1396"/>
      <c r="M1396"/>
      <c r="N1396"/>
      <c r="O1396"/>
    </row>
    <row r="1397" spans="9:15" x14ac:dyDescent="0.25">
      <c r="I1397"/>
      <c r="J1397"/>
      <c r="K1397"/>
      <c r="L1397"/>
      <c r="M1397"/>
      <c r="N1397"/>
      <c r="O1397"/>
    </row>
    <row r="1398" spans="9:15" x14ac:dyDescent="0.25">
      <c r="I1398"/>
      <c r="J1398"/>
      <c r="K1398"/>
      <c r="L1398"/>
      <c r="M1398"/>
      <c r="N1398"/>
      <c r="O1398"/>
    </row>
    <row r="1399" spans="9:15" x14ac:dyDescent="0.25">
      <c r="I1399"/>
      <c r="J1399"/>
      <c r="K1399"/>
      <c r="L1399"/>
      <c r="M1399"/>
      <c r="N1399"/>
      <c r="O1399"/>
    </row>
    <row r="1400" spans="9:15" x14ac:dyDescent="0.25">
      <c r="I1400"/>
      <c r="J1400"/>
      <c r="K1400"/>
      <c r="L1400"/>
      <c r="M1400"/>
      <c r="N1400"/>
      <c r="O1400"/>
    </row>
    <row r="1401" spans="9:15" x14ac:dyDescent="0.25">
      <c r="I1401"/>
      <c r="J1401"/>
      <c r="K1401"/>
      <c r="L1401"/>
      <c r="M1401"/>
      <c r="N1401"/>
      <c r="O1401"/>
    </row>
    <row r="1402" spans="9:15" x14ac:dyDescent="0.25">
      <c r="I1402"/>
      <c r="J1402"/>
      <c r="K1402"/>
      <c r="L1402"/>
      <c r="M1402"/>
      <c r="N1402"/>
      <c r="O1402"/>
    </row>
    <row r="1403" spans="9:15" x14ac:dyDescent="0.25">
      <c r="I1403"/>
      <c r="J1403"/>
      <c r="K1403"/>
      <c r="L1403"/>
      <c r="M1403"/>
      <c r="N1403"/>
      <c r="O1403"/>
    </row>
    <row r="1404" spans="9:15" x14ac:dyDescent="0.25">
      <c r="I1404"/>
      <c r="J1404"/>
      <c r="K1404"/>
      <c r="L1404"/>
      <c r="M1404"/>
      <c r="N1404"/>
      <c r="O1404"/>
    </row>
    <row r="1405" spans="9:15" x14ac:dyDescent="0.25">
      <c r="I1405"/>
      <c r="J1405"/>
      <c r="K1405"/>
      <c r="L1405"/>
      <c r="M1405"/>
      <c r="N1405"/>
      <c r="O1405"/>
    </row>
    <row r="1406" spans="9:15" x14ac:dyDescent="0.25">
      <c r="I1406"/>
      <c r="J1406"/>
      <c r="K1406"/>
      <c r="L1406"/>
      <c r="M1406"/>
      <c r="N1406"/>
      <c r="O1406"/>
    </row>
    <row r="1407" spans="9:15" x14ac:dyDescent="0.25">
      <c r="I1407"/>
      <c r="J1407"/>
      <c r="K1407"/>
      <c r="L1407"/>
      <c r="M1407"/>
      <c r="N1407"/>
      <c r="O1407"/>
    </row>
    <row r="1408" spans="9:15" x14ac:dyDescent="0.25">
      <c r="I1408"/>
      <c r="J1408"/>
      <c r="K1408"/>
      <c r="L1408"/>
      <c r="M1408"/>
      <c r="N1408"/>
      <c r="O1408"/>
    </row>
    <row r="1409" spans="9:15" x14ac:dyDescent="0.25">
      <c r="I1409"/>
      <c r="J1409"/>
      <c r="K1409"/>
      <c r="L1409"/>
      <c r="M1409"/>
      <c r="N1409"/>
      <c r="O1409"/>
    </row>
    <row r="1410" spans="9:15" x14ac:dyDescent="0.25">
      <c r="I1410"/>
      <c r="J1410"/>
      <c r="K1410"/>
      <c r="L1410"/>
      <c r="M1410"/>
      <c r="N1410"/>
      <c r="O1410"/>
    </row>
    <row r="1411" spans="9:15" x14ac:dyDescent="0.25">
      <c r="I1411"/>
      <c r="J1411"/>
      <c r="K1411"/>
      <c r="L1411"/>
      <c r="M1411"/>
      <c r="N1411"/>
      <c r="O1411"/>
    </row>
    <row r="1412" spans="9:15" x14ac:dyDescent="0.25">
      <c r="I1412"/>
      <c r="J1412"/>
      <c r="K1412"/>
      <c r="L1412"/>
      <c r="M1412"/>
      <c r="N1412"/>
      <c r="O1412"/>
    </row>
    <row r="1413" spans="9:15" x14ac:dyDescent="0.25">
      <c r="I1413"/>
      <c r="J1413"/>
      <c r="K1413"/>
      <c r="L1413"/>
      <c r="M1413"/>
      <c r="N1413"/>
      <c r="O1413"/>
    </row>
    <row r="1414" spans="9:15" x14ac:dyDescent="0.25">
      <c r="I1414"/>
      <c r="J1414"/>
      <c r="K1414"/>
      <c r="L1414"/>
      <c r="M1414"/>
      <c r="N1414"/>
      <c r="O1414"/>
    </row>
    <row r="1415" spans="9:15" x14ac:dyDescent="0.25">
      <c r="I1415"/>
      <c r="J1415"/>
      <c r="K1415"/>
      <c r="L1415"/>
      <c r="M1415"/>
      <c r="N1415"/>
      <c r="O1415"/>
    </row>
    <row r="1416" spans="9:15" x14ac:dyDescent="0.25">
      <c r="I1416"/>
      <c r="J1416"/>
      <c r="K1416"/>
      <c r="L1416"/>
      <c r="M1416"/>
      <c r="N1416"/>
      <c r="O1416"/>
    </row>
    <row r="1417" spans="9:15" x14ac:dyDescent="0.25">
      <c r="I1417"/>
      <c r="J1417"/>
      <c r="K1417"/>
      <c r="L1417"/>
      <c r="M1417"/>
      <c r="N1417"/>
      <c r="O1417"/>
    </row>
    <row r="1418" spans="9:15" x14ac:dyDescent="0.25">
      <c r="I1418"/>
      <c r="J1418"/>
      <c r="K1418"/>
      <c r="L1418"/>
      <c r="M1418"/>
      <c r="N1418"/>
      <c r="O1418"/>
    </row>
    <row r="1419" spans="9:15" x14ac:dyDescent="0.25">
      <c r="I1419"/>
      <c r="J1419"/>
      <c r="K1419"/>
      <c r="L1419"/>
      <c r="M1419"/>
      <c r="N1419"/>
      <c r="O1419"/>
    </row>
    <row r="1420" spans="9:15" x14ac:dyDescent="0.25">
      <c r="I1420"/>
      <c r="J1420"/>
      <c r="K1420"/>
      <c r="L1420"/>
      <c r="M1420"/>
      <c r="N1420"/>
      <c r="O1420"/>
    </row>
    <row r="1421" spans="9:15" x14ac:dyDescent="0.25">
      <c r="I1421"/>
      <c r="J1421"/>
      <c r="K1421"/>
      <c r="L1421"/>
      <c r="M1421"/>
      <c r="N1421"/>
      <c r="O1421"/>
    </row>
    <row r="1422" spans="9:15" x14ac:dyDescent="0.25">
      <c r="I1422"/>
      <c r="J1422"/>
      <c r="K1422"/>
      <c r="L1422"/>
      <c r="M1422"/>
      <c r="N1422"/>
      <c r="O1422"/>
    </row>
    <row r="1423" spans="9:15" x14ac:dyDescent="0.25">
      <c r="I1423"/>
      <c r="J1423"/>
      <c r="K1423"/>
      <c r="L1423"/>
      <c r="M1423"/>
      <c r="N1423"/>
      <c r="O1423"/>
    </row>
    <row r="1424" spans="9:15" x14ac:dyDescent="0.25">
      <c r="I1424"/>
      <c r="J1424"/>
      <c r="K1424"/>
      <c r="L1424"/>
      <c r="M1424"/>
      <c r="N1424"/>
      <c r="O1424"/>
    </row>
    <row r="1425" spans="9:15" x14ac:dyDescent="0.25">
      <c r="I1425"/>
      <c r="J1425"/>
      <c r="K1425"/>
      <c r="L1425"/>
      <c r="M1425"/>
      <c r="N1425"/>
      <c r="O1425"/>
    </row>
    <row r="1426" spans="9:15" x14ac:dyDescent="0.25">
      <c r="I1426"/>
      <c r="J1426"/>
      <c r="K1426"/>
      <c r="L1426"/>
      <c r="M1426"/>
      <c r="N1426"/>
      <c r="O1426"/>
    </row>
    <row r="1427" spans="9:15" x14ac:dyDescent="0.25">
      <c r="I1427"/>
      <c r="J1427"/>
      <c r="K1427"/>
      <c r="L1427"/>
      <c r="M1427"/>
      <c r="N1427"/>
      <c r="O1427"/>
    </row>
    <row r="1428" spans="9:15" x14ac:dyDescent="0.25">
      <c r="I1428"/>
      <c r="J1428"/>
      <c r="K1428"/>
      <c r="L1428"/>
      <c r="M1428"/>
      <c r="N1428"/>
      <c r="O1428"/>
    </row>
    <row r="1429" spans="9:15" x14ac:dyDescent="0.25">
      <c r="I1429"/>
      <c r="J1429"/>
      <c r="K1429"/>
      <c r="L1429"/>
      <c r="M1429"/>
      <c r="N1429"/>
      <c r="O1429"/>
    </row>
    <row r="1430" spans="9:15" x14ac:dyDescent="0.25">
      <c r="I1430"/>
      <c r="J1430"/>
      <c r="K1430"/>
      <c r="L1430"/>
      <c r="M1430"/>
      <c r="N1430"/>
      <c r="O1430"/>
    </row>
    <row r="1431" spans="9:15" x14ac:dyDescent="0.25">
      <c r="I1431"/>
      <c r="J1431"/>
      <c r="K1431"/>
      <c r="L1431"/>
      <c r="M1431"/>
      <c r="N1431"/>
      <c r="O1431"/>
    </row>
    <row r="1432" spans="9:15" x14ac:dyDescent="0.25">
      <c r="I1432"/>
      <c r="J1432"/>
      <c r="K1432"/>
      <c r="L1432"/>
      <c r="M1432"/>
      <c r="N1432"/>
      <c r="O1432"/>
    </row>
    <row r="1433" spans="9:15" x14ac:dyDescent="0.25">
      <c r="I1433"/>
      <c r="J1433"/>
      <c r="K1433"/>
      <c r="L1433"/>
      <c r="M1433"/>
      <c r="N1433"/>
      <c r="O1433"/>
    </row>
    <row r="1434" spans="9:15" x14ac:dyDescent="0.25">
      <c r="I1434"/>
      <c r="J1434"/>
      <c r="K1434"/>
      <c r="L1434"/>
      <c r="M1434"/>
      <c r="N1434"/>
      <c r="O1434"/>
    </row>
    <row r="1435" spans="9:15" x14ac:dyDescent="0.25">
      <c r="I1435"/>
      <c r="J1435"/>
      <c r="K1435"/>
      <c r="L1435"/>
      <c r="M1435"/>
      <c r="N1435"/>
      <c r="O1435"/>
    </row>
    <row r="1436" spans="9:15" x14ac:dyDescent="0.25">
      <c r="I1436"/>
      <c r="J1436"/>
      <c r="K1436"/>
      <c r="L1436"/>
      <c r="M1436"/>
      <c r="N1436"/>
      <c r="O1436"/>
    </row>
    <row r="1437" spans="9:15" x14ac:dyDescent="0.25">
      <c r="I1437"/>
      <c r="J1437"/>
      <c r="K1437"/>
      <c r="L1437"/>
      <c r="M1437"/>
      <c r="N1437"/>
      <c r="O1437"/>
    </row>
    <row r="1438" spans="9:15" x14ac:dyDescent="0.25">
      <c r="I1438"/>
      <c r="J1438"/>
      <c r="K1438"/>
      <c r="L1438"/>
      <c r="M1438"/>
      <c r="N1438"/>
      <c r="O1438"/>
    </row>
    <row r="1439" spans="9:15" x14ac:dyDescent="0.25">
      <c r="I1439"/>
      <c r="J1439"/>
      <c r="K1439"/>
      <c r="L1439"/>
      <c r="M1439"/>
      <c r="N1439"/>
      <c r="O1439"/>
    </row>
    <row r="1440" spans="9:15" x14ac:dyDescent="0.25">
      <c r="I1440"/>
      <c r="J1440"/>
      <c r="K1440"/>
      <c r="L1440"/>
      <c r="M1440"/>
      <c r="N1440"/>
      <c r="O1440"/>
    </row>
    <row r="1441" spans="9:15" x14ac:dyDescent="0.25">
      <c r="I1441"/>
      <c r="J1441"/>
      <c r="K1441"/>
      <c r="L1441"/>
      <c r="M1441"/>
      <c r="N1441"/>
      <c r="O1441"/>
    </row>
    <row r="1442" spans="9:15" x14ac:dyDescent="0.25">
      <c r="I1442"/>
      <c r="J1442"/>
      <c r="K1442"/>
      <c r="L1442"/>
      <c r="M1442"/>
      <c r="N1442"/>
      <c r="O1442"/>
    </row>
    <row r="1443" spans="9:15" x14ac:dyDescent="0.25">
      <c r="I1443"/>
      <c r="J1443"/>
      <c r="K1443"/>
      <c r="L1443"/>
      <c r="M1443"/>
      <c r="N1443"/>
      <c r="O1443"/>
    </row>
    <row r="1444" spans="9:15" x14ac:dyDescent="0.25">
      <c r="I1444"/>
      <c r="J1444"/>
      <c r="K1444"/>
      <c r="L1444"/>
      <c r="M1444"/>
      <c r="N1444"/>
      <c r="O1444"/>
    </row>
    <row r="1445" spans="9:15" x14ac:dyDescent="0.25">
      <c r="I1445"/>
      <c r="J1445"/>
      <c r="K1445"/>
      <c r="L1445"/>
      <c r="M1445"/>
      <c r="N1445"/>
      <c r="O1445"/>
    </row>
    <row r="1446" spans="9:15" x14ac:dyDescent="0.25">
      <c r="I1446"/>
      <c r="J1446"/>
      <c r="K1446"/>
      <c r="L1446"/>
      <c r="M1446"/>
      <c r="N1446"/>
      <c r="O1446"/>
    </row>
    <row r="1447" spans="9:15" x14ac:dyDescent="0.25">
      <c r="I1447"/>
      <c r="J1447"/>
      <c r="K1447"/>
      <c r="L1447"/>
      <c r="M1447"/>
      <c r="N1447"/>
      <c r="O1447"/>
    </row>
    <row r="1448" spans="9:15" x14ac:dyDescent="0.25">
      <c r="I1448"/>
      <c r="J1448"/>
      <c r="K1448"/>
      <c r="L1448"/>
      <c r="M1448"/>
      <c r="N1448"/>
      <c r="O1448"/>
    </row>
    <row r="1449" spans="9:15" x14ac:dyDescent="0.25">
      <c r="I1449"/>
      <c r="J1449"/>
      <c r="K1449"/>
      <c r="L1449"/>
      <c r="M1449"/>
      <c r="N1449"/>
      <c r="O1449"/>
    </row>
    <row r="1450" spans="9:15" x14ac:dyDescent="0.25">
      <c r="I1450"/>
      <c r="J1450"/>
      <c r="K1450"/>
      <c r="L1450"/>
      <c r="M1450"/>
      <c r="N1450"/>
      <c r="O1450"/>
    </row>
    <row r="1451" spans="9:15" x14ac:dyDescent="0.25">
      <c r="I1451"/>
      <c r="J1451"/>
      <c r="K1451"/>
      <c r="L1451"/>
      <c r="M1451"/>
      <c r="N1451"/>
      <c r="O1451"/>
    </row>
    <row r="1452" spans="9:15" x14ac:dyDescent="0.25">
      <c r="I1452"/>
      <c r="J1452"/>
      <c r="K1452"/>
      <c r="L1452"/>
      <c r="M1452"/>
      <c r="N1452"/>
      <c r="O1452"/>
    </row>
    <row r="1453" spans="9:15" x14ac:dyDescent="0.25">
      <c r="I1453"/>
      <c r="J1453"/>
      <c r="K1453"/>
      <c r="L1453"/>
      <c r="M1453"/>
      <c r="N1453"/>
      <c r="O1453"/>
    </row>
    <row r="1454" spans="9:15" x14ac:dyDescent="0.25">
      <c r="I1454"/>
      <c r="J1454"/>
      <c r="K1454"/>
      <c r="L1454"/>
      <c r="M1454"/>
      <c r="N1454"/>
      <c r="O1454"/>
    </row>
    <row r="1455" spans="9:15" x14ac:dyDescent="0.25">
      <c r="I1455"/>
      <c r="J1455"/>
      <c r="K1455"/>
      <c r="L1455"/>
      <c r="M1455"/>
      <c r="N1455"/>
      <c r="O1455"/>
    </row>
    <row r="1456" spans="9:15" x14ac:dyDescent="0.25">
      <c r="I1456"/>
      <c r="J1456"/>
      <c r="K1456"/>
      <c r="L1456"/>
      <c r="M1456"/>
      <c r="N1456"/>
      <c r="O1456"/>
    </row>
    <row r="1457" spans="9:15" x14ac:dyDescent="0.25">
      <c r="I1457"/>
      <c r="J1457"/>
      <c r="K1457"/>
      <c r="L1457"/>
      <c r="M1457"/>
      <c r="N1457"/>
      <c r="O1457"/>
    </row>
    <row r="1458" spans="9:15" x14ac:dyDescent="0.25">
      <c r="I1458"/>
      <c r="J1458"/>
      <c r="K1458"/>
      <c r="L1458"/>
      <c r="M1458"/>
      <c r="N1458"/>
      <c r="O1458"/>
    </row>
    <row r="1459" spans="9:15" x14ac:dyDescent="0.25">
      <c r="I1459"/>
      <c r="J1459"/>
      <c r="K1459"/>
      <c r="L1459"/>
      <c r="M1459"/>
      <c r="N1459"/>
      <c r="O1459"/>
    </row>
    <row r="1460" spans="9:15" x14ac:dyDescent="0.25">
      <c r="I1460"/>
      <c r="J1460"/>
      <c r="K1460"/>
      <c r="L1460"/>
      <c r="M1460"/>
      <c r="N1460"/>
      <c r="O1460"/>
    </row>
    <row r="1461" spans="9:15" x14ac:dyDescent="0.25">
      <c r="I1461"/>
      <c r="J1461"/>
      <c r="K1461"/>
      <c r="L1461"/>
      <c r="M1461"/>
      <c r="N1461"/>
      <c r="O1461"/>
    </row>
    <row r="1462" spans="9:15" x14ac:dyDescent="0.25">
      <c r="I1462"/>
      <c r="J1462"/>
      <c r="K1462"/>
      <c r="L1462"/>
      <c r="M1462"/>
      <c r="N1462"/>
      <c r="O1462"/>
    </row>
    <row r="1463" spans="9:15" x14ac:dyDescent="0.25">
      <c r="I1463"/>
      <c r="J1463"/>
      <c r="K1463"/>
      <c r="L1463"/>
      <c r="M1463"/>
      <c r="N1463"/>
      <c r="O1463"/>
    </row>
    <row r="1464" spans="9:15" x14ac:dyDescent="0.25">
      <c r="I1464"/>
      <c r="J1464"/>
      <c r="K1464"/>
      <c r="L1464"/>
      <c r="M1464"/>
      <c r="N1464"/>
      <c r="O1464"/>
    </row>
    <row r="1465" spans="9:15" x14ac:dyDescent="0.25">
      <c r="I1465"/>
      <c r="J1465"/>
      <c r="K1465"/>
      <c r="L1465"/>
      <c r="M1465"/>
      <c r="N1465"/>
      <c r="O1465"/>
    </row>
    <row r="1466" spans="9:15" x14ac:dyDescent="0.25">
      <c r="I1466"/>
      <c r="J1466"/>
      <c r="K1466"/>
      <c r="L1466"/>
      <c r="M1466"/>
      <c r="N1466"/>
      <c r="O1466"/>
    </row>
    <row r="1467" spans="9:15" x14ac:dyDescent="0.25">
      <c r="I1467"/>
      <c r="J1467"/>
      <c r="K1467"/>
      <c r="L1467"/>
      <c r="M1467"/>
      <c r="N1467"/>
      <c r="O1467"/>
    </row>
    <row r="1468" spans="9:15" x14ac:dyDescent="0.25">
      <c r="I1468"/>
      <c r="J1468"/>
      <c r="K1468"/>
      <c r="L1468"/>
      <c r="M1468"/>
      <c r="N1468"/>
      <c r="O1468"/>
    </row>
    <row r="1469" spans="9:15" x14ac:dyDescent="0.25">
      <c r="I1469"/>
      <c r="J1469"/>
      <c r="K1469"/>
      <c r="L1469"/>
      <c r="M1469"/>
      <c r="N1469"/>
      <c r="O1469"/>
    </row>
    <row r="1470" spans="9:15" x14ac:dyDescent="0.25">
      <c r="I1470"/>
      <c r="J1470"/>
      <c r="K1470"/>
      <c r="L1470"/>
      <c r="M1470"/>
      <c r="N1470"/>
      <c r="O1470"/>
    </row>
    <row r="1471" spans="9:15" x14ac:dyDescent="0.25">
      <c r="I1471"/>
      <c r="J1471"/>
      <c r="K1471"/>
      <c r="L1471"/>
      <c r="M1471"/>
      <c r="N1471"/>
      <c r="O1471"/>
    </row>
    <row r="1472" spans="9:15" x14ac:dyDescent="0.25">
      <c r="I1472"/>
      <c r="J1472"/>
      <c r="K1472"/>
      <c r="L1472"/>
      <c r="M1472"/>
      <c r="N1472"/>
      <c r="O1472"/>
    </row>
    <row r="1473" spans="9:15" x14ac:dyDescent="0.25">
      <c r="I1473"/>
      <c r="J1473"/>
      <c r="K1473"/>
      <c r="L1473"/>
      <c r="M1473"/>
      <c r="N1473"/>
      <c r="O1473"/>
    </row>
    <row r="1474" spans="9:15" x14ac:dyDescent="0.25">
      <c r="I1474"/>
      <c r="J1474"/>
      <c r="K1474"/>
      <c r="L1474"/>
      <c r="M1474"/>
      <c r="N1474"/>
      <c r="O1474"/>
    </row>
    <row r="1475" spans="9:15" x14ac:dyDescent="0.25">
      <c r="I1475"/>
      <c r="J1475"/>
      <c r="K1475"/>
      <c r="L1475"/>
      <c r="M1475"/>
      <c r="N1475"/>
      <c r="O1475"/>
    </row>
    <row r="1476" spans="9:15" x14ac:dyDescent="0.25">
      <c r="I1476"/>
      <c r="J1476"/>
      <c r="K1476"/>
      <c r="L1476"/>
      <c r="M1476"/>
      <c r="N1476"/>
      <c r="O1476"/>
    </row>
    <row r="1477" spans="9:15" x14ac:dyDescent="0.25">
      <c r="I1477"/>
      <c r="J1477"/>
      <c r="K1477"/>
      <c r="L1477"/>
      <c r="M1477"/>
      <c r="N1477"/>
      <c r="O1477"/>
    </row>
    <row r="1478" spans="9:15" x14ac:dyDescent="0.25">
      <c r="I1478"/>
      <c r="J1478"/>
      <c r="K1478"/>
      <c r="L1478"/>
      <c r="M1478"/>
      <c r="N1478"/>
      <c r="O1478"/>
    </row>
    <row r="1479" spans="9:15" x14ac:dyDescent="0.25">
      <c r="I1479"/>
      <c r="J1479"/>
      <c r="K1479"/>
      <c r="L1479"/>
      <c r="M1479"/>
      <c r="N1479"/>
      <c r="O1479"/>
    </row>
    <row r="1480" spans="9:15" x14ac:dyDescent="0.25">
      <c r="I1480"/>
      <c r="J1480"/>
      <c r="K1480"/>
      <c r="L1480"/>
      <c r="M1480"/>
      <c r="N1480"/>
      <c r="O1480"/>
    </row>
    <row r="1481" spans="9:15" x14ac:dyDescent="0.25">
      <c r="I1481"/>
      <c r="J1481"/>
      <c r="K1481"/>
      <c r="L1481"/>
      <c r="M1481"/>
      <c r="N1481"/>
      <c r="O1481"/>
    </row>
    <row r="1482" spans="9:15" x14ac:dyDescent="0.25">
      <c r="I1482"/>
      <c r="J1482"/>
      <c r="K1482"/>
      <c r="L1482"/>
      <c r="M1482"/>
      <c r="N1482"/>
      <c r="O1482"/>
    </row>
    <row r="1483" spans="9:15" x14ac:dyDescent="0.25">
      <c r="I1483"/>
      <c r="J1483"/>
      <c r="K1483"/>
      <c r="L1483"/>
      <c r="M1483"/>
      <c r="N1483"/>
      <c r="O1483"/>
    </row>
    <row r="1484" spans="9:15" x14ac:dyDescent="0.25">
      <c r="I1484"/>
      <c r="J1484"/>
      <c r="K1484"/>
      <c r="L1484"/>
      <c r="M1484"/>
      <c r="N1484"/>
      <c r="O1484"/>
    </row>
    <row r="1485" spans="9:15" x14ac:dyDescent="0.25">
      <c r="I1485"/>
      <c r="J1485"/>
      <c r="K1485"/>
      <c r="L1485"/>
      <c r="M1485"/>
      <c r="N1485"/>
      <c r="O1485"/>
    </row>
    <row r="1486" spans="9:15" x14ac:dyDescent="0.25">
      <c r="I1486"/>
      <c r="J1486"/>
      <c r="K1486"/>
      <c r="L1486"/>
      <c r="M1486"/>
      <c r="N1486"/>
      <c r="O1486"/>
    </row>
    <row r="1487" spans="9:15" x14ac:dyDescent="0.25">
      <c r="I1487"/>
      <c r="J1487"/>
      <c r="K1487"/>
      <c r="L1487"/>
      <c r="M1487"/>
      <c r="N1487"/>
      <c r="O1487"/>
    </row>
    <row r="1488" spans="9:15" x14ac:dyDescent="0.25">
      <c r="I1488"/>
      <c r="J1488"/>
      <c r="K1488"/>
      <c r="L1488"/>
      <c r="M1488"/>
      <c r="N1488"/>
      <c r="O1488"/>
    </row>
    <row r="1489" spans="9:15" x14ac:dyDescent="0.25">
      <c r="I1489"/>
      <c r="J1489"/>
      <c r="K1489"/>
      <c r="L1489"/>
      <c r="M1489"/>
      <c r="N1489"/>
      <c r="O1489"/>
    </row>
    <row r="1490" spans="9:15" x14ac:dyDescent="0.25">
      <c r="I1490"/>
      <c r="J1490"/>
      <c r="K1490"/>
      <c r="L1490"/>
      <c r="M1490"/>
      <c r="N1490"/>
      <c r="O1490"/>
    </row>
    <row r="1491" spans="9:15" x14ac:dyDescent="0.25">
      <c r="I1491"/>
      <c r="J1491"/>
      <c r="K1491"/>
      <c r="L1491"/>
      <c r="M1491"/>
      <c r="N1491"/>
      <c r="O1491"/>
    </row>
    <row r="1492" spans="9:15" x14ac:dyDescent="0.25">
      <c r="I1492"/>
      <c r="J1492"/>
      <c r="K1492"/>
      <c r="L1492"/>
      <c r="M1492"/>
      <c r="N1492"/>
      <c r="O1492"/>
    </row>
    <row r="1493" spans="9:15" x14ac:dyDescent="0.25">
      <c r="I1493"/>
      <c r="J1493"/>
      <c r="K1493"/>
      <c r="L1493"/>
      <c r="M1493"/>
      <c r="N1493"/>
      <c r="O1493"/>
    </row>
    <row r="1494" spans="9:15" x14ac:dyDescent="0.25">
      <c r="I1494"/>
      <c r="J1494"/>
      <c r="K1494"/>
      <c r="L1494"/>
      <c r="M1494"/>
      <c r="N1494"/>
      <c r="O1494"/>
    </row>
    <row r="1495" spans="9:15" x14ac:dyDescent="0.25">
      <c r="I1495"/>
      <c r="J1495"/>
      <c r="K1495"/>
      <c r="L1495"/>
      <c r="M1495"/>
      <c r="N1495"/>
      <c r="O1495"/>
    </row>
    <row r="1496" spans="9:15" x14ac:dyDescent="0.25">
      <c r="I1496"/>
      <c r="J1496"/>
      <c r="K1496"/>
      <c r="L1496"/>
      <c r="M1496"/>
      <c r="N1496"/>
      <c r="O1496"/>
    </row>
    <row r="1497" spans="9:15" x14ac:dyDescent="0.25">
      <c r="I1497"/>
      <c r="J1497"/>
      <c r="K1497"/>
      <c r="L1497"/>
      <c r="M1497"/>
      <c r="N1497"/>
      <c r="O1497"/>
    </row>
    <row r="1498" spans="9:15" x14ac:dyDescent="0.25">
      <c r="I1498"/>
      <c r="J1498"/>
      <c r="K1498"/>
      <c r="L1498"/>
      <c r="M1498"/>
      <c r="N1498"/>
      <c r="O1498"/>
    </row>
    <row r="1499" spans="9:15" x14ac:dyDescent="0.25">
      <c r="I1499"/>
      <c r="J1499"/>
      <c r="K1499"/>
      <c r="L1499"/>
      <c r="M1499"/>
      <c r="N1499"/>
      <c r="O1499"/>
    </row>
    <row r="1500" spans="9:15" x14ac:dyDescent="0.25">
      <c r="I1500"/>
      <c r="J1500"/>
      <c r="K1500"/>
      <c r="L1500"/>
      <c r="M1500"/>
      <c r="N1500"/>
      <c r="O1500"/>
    </row>
  </sheetData>
  <sortState xmlns:xlrd2="http://schemas.microsoft.com/office/spreadsheetml/2017/richdata2" ref="B13:B17">
    <sortCondition ref="B13"/>
  </sortState>
  <mergeCells count="7">
    <mergeCell ref="B10:F10"/>
    <mergeCell ref="B2:G2"/>
    <mergeCell ref="B3:G3"/>
    <mergeCell ref="C5:G5"/>
    <mergeCell ref="C6:G6"/>
    <mergeCell ref="C7:G7"/>
    <mergeCell ref="C8:G8"/>
  </mergeCells>
  <conditionalFormatting sqref="C8">
    <cfRule type="cellIs" dxfId="264" priority="31" operator="equal">
      <formula>"Erro"</formula>
    </cfRule>
  </conditionalFormatting>
  <conditionalFormatting sqref="G10">
    <cfRule type="cellIs" dxfId="263" priority="20" operator="equal">
      <formula>"Erro"</formula>
    </cfRule>
  </conditionalFormatting>
  <conditionalFormatting sqref="J2:J5">
    <cfRule type="cellIs" dxfId="262" priority="18" operator="equal">
      <formula>"TRUE"</formula>
    </cfRule>
    <cfRule type="cellIs" dxfId="261" priority="19" operator="equal">
      <formula>"FALSE"</formula>
    </cfRule>
  </conditionalFormatting>
  <conditionalFormatting sqref="J6">
    <cfRule type="cellIs" dxfId="260" priority="16" operator="equal">
      <formula>"TRUE"</formula>
    </cfRule>
    <cfRule type="cellIs" dxfId="259" priority="17" operator="equal">
      <formula>"FALSE"</formula>
    </cfRule>
  </conditionalFormatting>
  <conditionalFormatting sqref="E13:E19">
    <cfRule type="cellIs" dxfId="258" priority="13" operator="greaterThanOrEqual">
      <formula>1</formula>
    </cfRule>
  </conditionalFormatting>
  <conditionalFormatting sqref="E20:E23">
    <cfRule type="cellIs" dxfId="257" priority="10" operator="greaterThanOrEqual">
      <formula>1</formula>
    </cfRule>
  </conditionalFormatting>
  <conditionalFormatting sqref="J7">
    <cfRule type="cellIs" dxfId="256" priority="8" operator="equal">
      <formula>"TRUE"</formula>
    </cfRule>
    <cfRule type="cellIs" dxfId="255" priority="9" operator="equal">
      <formula>"FALSE"</formula>
    </cfRule>
  </conditionalFormatting>
  <conditionalFormatting sqref="J8">
    <cfRule type="cellIs" dxfId="254" priority="6" operator="equal">
      <formula>"FALSE"</formula>
    </cfRule>
    <cfRule type="cellIs" dxfId="253" priority="7" operator="equal">
      <formula>"TRUE"</formula>
    </cfRule>
  </conditionalFormatting>
  <conditionalFormatting sqref="R3:R4">
    <cfRule type="cellIs" dxfId="252" priority="4" operator="equal">
      <formula>FALSE</formula>
    </cfRule>
    <cfRule type="cellIs" dxfId="251" priority="5" operator="equal">
      <formula>TRUE</formula>
    </cfRule>
  </conditionalFormatting>
  <conditionalFormatting sqref="R15:R19 R27 R31 R33 R35 R37 R39">
    <cfRule type="cellIs" dxfId="250" priority="1" operator="greaterThanOrEqual">
      <formula>1</formula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4" operator="greaterThanOrEqual" id="{CE4022AA-7151-468F-B79D-13E0B4BEEA95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5" operator="lessThan" id="{DE0F9F10-CD77-4E50-B64A-C089ABE3491E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E13:E19</xm:sqref>
        </x14:conditionalFormatting>
        <x14:conditionalFormatting xmlns:xm="http://schemas.microsoft.com/office/excel/2006/main">
          <x14:cfRule type="cellIs" priority="11" operator="greaterThanOrEqual" id="{2A559294-EB39-411E-826C-84590686B410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" operator="lessThan" id="{AED0825A-22AF-448A-811D-F94097215853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E20:E23</xm:sqref>
        </x14:conditionalFormatting>
        <x14:conditionalFormatting xmlns:xm="http://schemas.microsoft.com/office/excel/2006/main">
          <x14:cfRule type="cellIs" priority="2" operator="greaterThanOrEqual" id="{1077CD51-2C54-4FDE-9BE7-0CC79220F7CF}">
            <xm:f>'Gerentes-IV'!$Q$1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" operator="lessThan" id="{0FED414D-B584-4698-AB3F-C472544A8963}">
            <xm:f>'Gerentes-IV'!$Q$1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R15:R19 R27 R31 R33 R35 R37 R39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8DAC3-C564-4F40-A3FD-B0D6F1B6A0D5}">
  <sheetPr codeName="Planilha7">
    <tabColor theme="9" tint="-0.249977111117893"/>
  </sheetPr>
  <dimension ref="B1:P1501"/>
  <sheetViews>
    <sheetView showGridLines="0" workbookViewId="0">
      <selection activeCell="E29" sqref="E29"/>
    </sheetView>
  </sheetViews>
  <sheetFormatPr defaultRowHeight="15" x14ac:dyDescent="0.25"/>
  <cols>
    <col min="1" max="1" width="3.7109375" style="1" customWidth="1"/>
    <col min="2" max="2" width="24.140625" style="1" bestFit="1" customWidth="1"/>
    <col min="3" max="7" width="18" style="1" customWidth="1"/>
    <col min="8" max="8" width="4.140625" style="1" customWidth="1"/>
    <col min="9" max="9" width="98.42578125" style="1" customWidth="1"/>
    <col min="10" max="12" width="17.42578125" style="1" customWidth="1"/>
    <col min="13" max="13" width="10.7109375" style="1" bestFit="1" customWidth="1"/>
    <col min="14" max="14" width="11" style="1" customWidth="1"/>
    <col min="15" max="15" width="24.140625" style="1" bestFit="1" customWidth="1"/>
    <col min="16" max="16" width="34.5703125" style="1" customWidth="1"/>
    <col min="17" max="16384" width="9.140625" style="1"/>
  </cols>
  <sheetData>
    <row r="1" spans="2:16" x14ac:dyDescent="0.25">
      <c r="I1" s="65" t="s">
        <v>284</v>
      </c>
      <c r="J1" t="s" vm="15">
        <v>113</v>
      </c>
      <c r="K1"/>
      <c r="N1" s="82">
        <v>1</v>
      </c>
      <c r="O1" s="83" t="s">
        <v>214</v>
      </c>
      <c r="P1" s="84" t="str">
        <f>IFERROR(VLOOKUP($J$1,Representantes_IV[],$N1,0),"-")</f>
        <v>tathiana.ponce@cslbehring.com</v>
      </c>
    </row>
    <row r="2" spans="2:16" x14ac:dyDescent="0.25">
      <c r="B2" s="117" t="s">
        <v>289</v>
      </c>
      <c r="C2" s="117"/>
      <c r="D2" s="117"/>
      <c r="E2" s="117"/>
      <c r="F2" s="117"/>
      <c r="G2" s="117"/>
      <c r="I2" s="65" t="s">
        <v>52</v>
      </c>
      <c r="J2" t="s" vm="1">
        <v>53</v>
      </c>
      <c r="K2"/>
      <c r="N2" s="67">
        <v>2</v>
      </c>
      <c r="O2" s="68" t="s">
        <v>215</v>
      </c>
      <c r="P2" s="69" t="str">
        <f>IFERROR(VLOOKUP($J$1,Representantes_IV[],$N2,0),"-")</f>
        <v>TATHIANA PONCE HSP (SPC)</v>
      </c>
    </row>
    <row r="3" spans="2:16" x14ac:dyDescent="0.25">
      <c r="B3" s="117" t="str">
        <f>"Relatório atualizado em " &amp; TEXT(Ultima_Atualizacao_RPT[[#This Row],[Ultima-Atualizacao-RPT]],"dd/mm/aaaa") &amp; " Dados Atualizados em " &amp; TEXT(Ultima_Atualizacao_DADOS[[#This Row],[Ultima-Atualizacao-Dados]],"dd/mm/aaaa")</f>
        <v>Relatório atualizado em 18/08/2020 Dados Atualizados em 18/08/2020</v>
      </c>
      <c r="C3" s="117"/>
      <c r="D3" s="117"/>
      <c r="E3" s="117"/>
      <c r="F3" s="117"/>
      <c r="G3" s="117"/>
      <c r="I3" s="65" t="s">
        <v>153</v>
      </c>
      <c r="J3" t="s" vm="6">
        <v>286</v>
      </c>
      <c r="K3"/>
      <c r="N3" s="67">
        <v>3</v>
      </c>
      <c r="O3" s="68" t="s">
        <v>153</v>
      </c>
      <c r="P3" s="69" t="b">
        <f>IFERROR(VLOOKUP($J$1,Representantes_IV[],$N3,0),"-")</f>
        <v>1</v>
      </c>
    </row>
    <row r="4" spans="2:16" ht="21" x14ac:dyDescent="0.25">
      <c r="B4" s="79" t="s">
        <v>282</v>
      </c>
      <c r="I4" s="65" t="s">
        <v>157</v>
      </c>
      <c r="J4" t="s" vm="2">
        <v>286</v>
      </c>
      <c r="K4"/>
      <c r="N4" s="67">
        <v>4</v>
      </c>
      <c r="O4" s="68" t="s">
        <v>157</v>
      </c>
      <c r="P4" s="69" t="b">
        <f>IFERROR(VLOOKUP($J$1,Representantes_IV[],$N4,0),"-")</f>
        <v>1</v>
      </c>
    </row>
    <row r="5" spans="2:16" x14ac:dyDescent="0.25">
      <c r="B5" s="78" t="s">
        <v>280</v>
      </c>
      <c r="C5" s="118" t="str" cm="1">
        <f t="array" ref="C5">Datas[AnoMes-Fiscal]</f>
        <v>2020/2021 (01-Jul)</v>
      </c>
      <c r="D5" s="118"/>
      <c r="E5" s="118"/>
      <c r="F5" s="118"/>
      <c r="G5" s="118"/>
      <c r="I5" s="65" t="s">
        <v>108</v>
      </c>
      <c r="J5" t="s" vm="3">
        <v>287</v>
      </c>
      <c r="K5"/>
      <c r="L5"/>
      <c r="M5"/>
      <c r="N5" s="67">
        <v>5</v>
      </c>
      <c r="O5" s="68" t="s">
        <v>93</v>
      </c>
      <c r="P5" s="69" t="b">
        <f>IFERROR(VLOOKUP($J$1,Representantes_IV[],$N5,0),"-")</f>
        <v>0</v>
      </c>
    </row>
    <row r="6" spans="2:16" ht="15.75" x14ac:dyDescent="0.25">
      <c r="B6" s="78" t="s">
        <v>215</v>
      </c>
      <c r="C6" s="119" t="str">
        <f>P2</f>
        <v>TATHIANA PONCE HSP (SPC)</v>
      </c>
      <c r="D6" s="119"/>
      <c r="E6" s="119"/>
      <c r="F6" s="119"/>
      <c r="G6" s="119"/>
      <c r="I6" s="65" t="s">
        <v>109</v>
      </c>
      <c r="J6" t="s" vm="4">
        <v>287</v>
      </c>
      <c r="K6"/>
      <c r="L6"/>
      <c r="M6"/>
      <c r="N6" s="67">
        <v>6</v>
      </c>
      <c r="O6" s="68" t="s">
        <v>158</v>
      </c>
      <c r="P6" s="69" t="b">
        <f>IFERROR(VLOOKUP($J$1,Representantes_IV[],$N6,0),"-")</f>
        <v>0</v>
      </c>
    </row>
    <row r="7" spans="2:16" x14ac:dyDescent="0.25">
      <c r="B7" s="78" t="s">
        <v>279</v>
      </c>
      <c r="C7" s="118" t="str">
        <f>P1</f>
        <v>tathiana.ponce@cslbehring.com</v>
      </c>
      <c r="D7" s="118"/>
      <c r="E7" s="118"/>
      <c r="F7" s="118"/>
      <c r="G7" s="118"/>
      <c r="I7" s="65" t="s">
        <v>92</v>
      </c>
      <c r="J7" t="s" vm="5">
        <v>286</v>
      </c>
      <c r="K7"/>
      <c r="L7"/>
      <c r="M7"/>
      <c r="N7" s="67">
        <v>7</v>
      </c>
      <c r="O7" s="68" t="s">
        <v>217</v>
      </c>
      <c r="P7" s="69" t="str">
        <f>IFERROR(VLOOKUP($J$1,Representantes_IV[],$N7,0),"-")</f>
        <v>OK</v>
      </c>
    </row>
    <row r="8" spans="2:16" x14ac:dyDescent="0.25">
      <c r="B8" s="78" t="s">
        <v>269</v>
      </c>
      <c r="C8" s="118" t="str">
        <f>IF(P4=TRUE,"Hospitalar",IF(P5=TRUE,"Especialidades",IF(P6=TRUE,"Equipe Mista","Erro")))</f>
        <v>Hospitalar</v>
      </c>
      <c r="D8" s="118"/>
      <c r="E8" s="118"/>
      <c r="F8" s="118"/>
      <c r="G8" s="118"/>
      <c r="I8"/>
      <c r="J8"/>
      <c r="K8"/>
      <c r="L8"/>
      <c r="M8"/>
      <c r="N8" s="67">
        <v>8</v>
      </c>
      <c r="O8" s="68" t="s">
        <v>178</v>
      </c>
      <c r="P8" s="70">
        <f>IFERROR(VLOOKUP($J$1,Representantes_IV[],$N8,0),"-")</f>
        <v>3</v>
      </c>
    </row>
    <row r="9" spans="2:16" x14ac:dyDescent="0.25">
      <c r="I9" s="65" t="s">
        <v>288</v>
      </c>
      <c r="J9"/>
      <c r="K9"/>
      <c r="L9"/>
      <c r="M9"/>
      <c r="N9" s="67">
        <v>9</v>
      </c>
      <c r="O9" s="68" t="s">
        <v>179</v>
      </c>
      <c r="P9" s="70">
        <f>IFERROR(VLOOKUP($J$1,Representantes_IV[],$N9,0),"-")</f>
        <v>116</v>
      </c>
    </row>
    <row r="10" spans="2:16" ht="15.75" x14ac:dyDescent="0.25">
      <c r="B10" s="116" t="s">
        <v>281</v>
      </c>
      <c r="C10" s="116"/>
      <c r="D10" s="116"/>
      <c r="E10" s="116"/>
      <c r="F10" s="116"/>
      <c r="G10" s="80">
        <f>IF(SUM(G13:G21)&lt;&gt;P59,"Erro",SUM(G13:G21))</f>
        <v>4686.5353000000005</v>
      </c>
      <c r="I10"/>
      <c r="J10" s="45" t="s">
        <v>8</v>
      </c>
      <c r="K10" s="45" t="s">
        <v>10</v>
      </c>
      <c r="L10" s="45" t="s">
        <v>12</v>
      </c>
      <c r="M10"/>
      <c r="N10" s="67">
        <v>10</v>
      </c>
      <c r="O10" s="68" t="s">
        <v>180</v>
      </c>
      <c r="P10" s="70">
        <f>IFERROR(VLOOKUP($J$1,Representantes_IV[],$N10,0),"-")</f>
        <v>113</v>
      </c>
    </row>
    <row r="11" spans="2:16" x14ac:dyDescent="0.25">
      <c r="I11" s="66" t="s">
        <v>367</v>
      </c>
      <c r="J11" s="85"/>
      <c r="K11" s="85"/>
      <c r="L11" s="85">
        <v>125</v>
      </c>
      <c r="M11"/>
      <c r="N11" s="67">
        <v>11</v>
      </c>
      <c r="O11" s="68" t="s">
        <v>181</v>
      </c>
      <c r="P11" s="70">
        <f>IFERROR(VLOOKUP($J$1,Representantes_IV[],$N11,0),"-")</f>
        <v>359</v>
      </c>
    </row>
    <row r="12" spans="2:16" x14ac:dyDescent="0.25">
      <c r="B12" s="81" t="s">
        <v>283</v>
      </c>
      <c r="C12" s="81" t="s">
        <v>270</v>
      </c>
      <c r="D12" s="81" t="s">
        <v>273</v>
      </c>
      <c r="E12" s="81" t="s">
        <v>271</v>
      </c>
      <c r="F12" s="81" t="s">
        <v>213</v>
      </c>
      <c r="G12" s="81" t="s">
        <v>272</v>
      </c>
      <c r="I12" s="66" t="s">
        <v>368</v>
      </c>
      <c r="J12" s="85"/>
      <c r="K12" s="85"/>
      <c r="L12" s="85">
        <v>125</v>
      </c>
      <c r="M12"/>
      <c r="N12" s="67">
        <v>12</v>
      </c>
      <c r="O12" s="68" t="s">
        <v>182</v>
      </c>
      <c r="P12" s="70">
        <f>IFERROR(VLOOKUP($J$1,Representantes_IV[],$N12,0),"-")</f>
        <v>6940</v>
      </c>
    </row>
    <row r="13" spans="2:16" x14ac:dyDescent="0.25">
      <c r="B13" s="71" t="str">
        <f>O9</f>
        <v>Demanda BERIPLEX</v>
      </c>
      <c r="C13" s="72">
        <f>P14</f>
        <v>215</v>
      </c>
      <c r="D13" s="72">
        <f>P9</f>
        <v>116</v>
      </c>
      <c r="E13" s="73">
        <f>P19</f>
        <v>0.54</v>
      </c>
      <c r="F13" s="73">
        <f>P29</f>
        <v>0</v>
      </c>
      <c r="G13" s="74">
        <f>P39</f>
        <v>0</v>
      </c>
      <c r="I13" s="66" t="s">
        <v>369</v>
      </c>
      <c r="J13" s="85"/>
      <c r="K13" s="85"/>
      <c r="L13" s="85">
        <v>100</v>
      </c>
      <c r="M13"/>
      <c r="N13" s="67">
        <v>13</v>
      </c>
      <c r="O13" s="68" t="s">
        <v>165</v>
      </c>
      <c r="P13" s="70">
        <f>IFERROR(VLOOKUP($J$1,Representantes_IV[],$N13,0),"-")</f>
        <v>0</v>
      </c>
    </row>
    <row r="14" spans="2:16" x14ac:dyDescent="0.25">
      <c r="B14" s="71" t="str">
        <f>O10</f>
        <v>Demanda HAEMO</v>
      </c>
      <c r="C14" s="72">
        <f>P15</f>
        <v>168</v>
      </c>
      <c r="D14" s="72">
        <f>P10</f>
        <v>113</v>
      </c>
      <c r="E14" s="73">
        <f>P20</f>
        <v>0.67300000000000004</v>
      </c>
      <c r="F14" s="73">
        <f>P30</f>
        <v>0</v>
      </c>
      <c r="G14" s="74">
        <f>P40</f>
        <v>0</v>
      </c>
      <c r="I14" s="66" t="s">
        <v>370</v>
      </c>
      <c r="J14" s="85">
        <v>3</v>
      </c>
      <c r="K14" s="85">
        <v>5</v>
      </c>
      <c r="L14" s="85"/>
      <c r="M14"/>
      <c r="N14" s="67">
        <v>14</v>
      </c>
      <c r="O14" s="68" t="s">
        <v>166</v>
      </c>
      <c r="P14" s="70">
        <f>IFERROR(VLOOKUP($J$1,Representantes_IV[],$N14,0),"-")</f>
        <v>215</v>
      </c>
    </row>
    <row r="15" spans="2:16" x14ac:dyDescent="0.25">
      <c r="B15" s="71" t="str">
        <f>O12</f>
        <v>Demanda PRIVIGEN</v>
      </c>
      <c r="C15" s="72">
        <f>P17</f>
        <v>7481.83</v>
      </c>
      <c r="D15" s="72">
        <f>P12</f>
        <v>6940</v>
      </c>
      <c r="E15" s="73">
        <f>P22</f>
        <v>0.92800000000000005</v>
      </c>
      <c r="F15" s="73">
        <f>P32</f>
        <v>0</v>
      </c>
      <c r="G15" s="74">
        <f>P42</f>
        <v>261.75330000000002</v>
      </c>
      <c r="I15" s="66" t="s">
        <v>372</v>
      </c>
      <c r="J15" s="85"/>
      <c r="K15" s="85"/>
      <c r="L15" s="85">
        <v>70</v>
      </c>
      <c r="M15"/>
      <c r="N15" s="67">
        <v>15</v>
      </c>
      <c r="O15" s="68" t="s">
        <v>167</v>
      </c>
      <c r="P15" s="70">
        <f>IFERROR(VLOOKUP($J$1,Representantes_IV[],$N15,0),"-")</f>
        <v>168</v>
      </c>
    </row>
    <row r="16" spans="2:16" x14ac:dyDescent="0.25">
      <c r="B16" s="71" t="s">
        <v>278</v>
      </c>
      <c r="C16" s="74">
        <f>P43</f>
        <v>24875647.060000017</v>
      </c>
      <c r="D16" s="74">
        <f>P44</f>
        <v>30797896.699999992</v>
      </c>
      <c r="E16" s="73">
        <f>P45</f>
        <v>1.2389999999999999</v>
      </c>
      <c r="F16" s="90"/>
      <c r="G16" s="74">
        <f>P46</f>
        <v>631.32569999999998</v>
      </c>
      <c r="I16" s="66" t="s">
        <v>378</v>
      </c>
      <c r="J16" s="85"/>
      <c r="K16" s="85"/>
      <c r="L16" s="85">
        <v>350</v>
      </c>
      <c r="M16"/>
      <c r="N16" s="67">
        <v>16</v>
      </c>
      <c r="O16" s="68" t="s">
        <v>168</v>
      </c>
      <c r="P16" s="70">
        <f>IFERROR(VLOOKUP($J$1,Representantes_IV[],$N16,0),"-")</f>
        <v>0</v>
      </c>
    </row>
    <row r="17" spans="2:16" x14ac:dyDescent="0.25">
      <c r="B17" s="71" t="s">
        <v>255</v>
      </c>
      <c r="C17" s="71">
        <f>P47</f>
        <v>84</v>
      </c>
      <c r="D17" s="71">
        <f>P48</f>
        <v>125</v>
      </c>
      <c r="E17" s="73">
        <f>P49</f>
        <v>1.4889999999999999</v>
      </c>
      <c r="F17" s="90"/>
      <c r="G17" s="74">
        <f>P50</f>
        <v>1536.9623999999999</v>
      </c>
      <c r="I17" s="66" t="s">
        <v>384</v>
      </c>
      <c r="J17" s="85">
        <v>36</v>
      </c>
      <c r="K17" s="85">
        <v>7</v>
      </c>
      <c r="L17" s="85">
        <v>1775</v>
      </c>
      <c r="M17"/>
      <c r="N17" s="67">
        <v>17</v>
      </c>
      <c r="O17" s="68" t="s">
        <v>169</v>
      </c>
      <c r="P17" s="70">
        <f>IFERROR(VLOOKUP($J$1,Representantes_IV[],$N17,0),"-")</f>
        <v>7481.83</v>
      </c>
    </row>
    <row r="18" spans="2:16" x14ac:dyDescent="0.25">
      <c r="B18" s="71" t="s">
        <v>274</v>
      </c>
      <c r="C18" s="89"/>
      <c r="D18" s="89"/>
      <c r="E18" s="73">
        <f>P51</f>
        <v>1</v>
      </c>
      <c r="F18" s="90"/>
      <c r="G18" s="74">
        <f>P52</f>
        <v>376.08229999999998</v>
      </c>
      <c r="I18" s="66" t="s">
        <v>387</v>
      </c>
      <c r="J18" s="85">
        <v>4</v>
      </c>
      <c r="K18" s="85">
        <v>30</v>
      </c>
      <c r="L18" s="85">
        <v>300</v>
      </c>
      <c r="M18"/>
      <c r="N18" s="67">
        <v>18</v>
      </c>
      <c r="O18" s="68" t="s">
        <v>184</v>
      </c>
      <c r="P18" s="75" t="str">
        <f>IFERROR(VLOOKUP($J$1,Representantes_IV[],$N18,0),"-")</f>
        <v>-</v>
      </c>
    </row>
    <row r="19" spans="2:16" x14ac:dyDescent="0.25">
      <c r="B19" s="71" t="s">
        <v>275</v>
      </c>
      <c r="C19" s="89"/>
      <c r="D19" s="89"/>
      <c r="E19" s="73">
        <f>P53</f>
        <v>1</v>
      </c>
      <c r="F19" s="90"/>
      <c r="G19" s="74">
        <f>P54</f>
        <v>1128.2470000000001</v>
      </c>
      <c r="I19" s="66" t="s">
        <v>388</v>
      </c>
      <c r="J19" s="85"/>
      <c r="K19" s="85">
        <v>10</v>
      </c>
      <c r="L19" s="85"/>
      <c r="M19"/>
      <c r="N19" s="67">
        <v>19</v>
      </c>
      <c r="O19" s="68" t="s">
        <v>185</v>
      </c>
      <c r="P19" s="75">
        <f>IFERROR(VLOOKUP($J$1,Representantes_IV[],$N19,0),"-")</f>
        <v>0.54</v>
      </c>
    </row>
    <row r="20" spans="2:16" x14ac:dyDescent="0.25">
      <c r="B20" s="71" t="s">
        <v>276</v>
      </c>
      <c r="C20" s="89"/>
      <c r="D20" s="89"/>
      <c r="E20" s="73">
        <f>P55</f>
        <v>1</v>
      </c>
      <c r="F20" s="90"/>
      <c r="G20" s="74">
        <f>P56</f>
        <v>376.08229999999998</v>
      </c>
      <c r="I20" s="66" t="s">
        <v>389</v>
      </c>
      <c r="J20" s="85">
        <v>17</v>
      </c>
      <c r="K20" s="85">
        <v>11</v>
      </c>
      <c r="L20" s="85"/>
      <c r="M20"/>
      <c r="N20" s="67">
        <v>20</v>
      </c>
      <c r="O20" s="68" t="s">
        <v>186</v>
      </c>
      <c r="P20" s="75">
        <f>IFERROR(VLOOKUP($J$1,Representantes_IV[],$N20,0),"-")</f>
        <v>0.67300000000000004</v>
      </c>
    </row>
    <row r="21" spans="2:16" x14ac:dyDescent="0.25">
      <c r="B21" s="71" t="s">
        <v>277</v>
      </c>
      <c r="C21" s="89"/>
      <c r="D21" s="89"/>
      <c r="E21" s="73">
        <f>P57</f>
        <v>1</v>
      </c>
      <c r="F21" s="90"/>
      <c r="G21" s="74">
        <f>P58</f>
        <v>376.08229999999998</v>
      </c>
      <c r="I21" s="66" t="s">
        <v>391</v>
      </c>
      <c r="J21" s="85"/>
      <c r="K21" s="85">
        <v>36</v>
      </c>
      <c r="L21" s="85"/>
      <c r="M21"/>
      <c r="N21" s="67">
        <v>21</v>
      </c>
      <c r="O21" s="68" t="s">
        <v>187</v>
      </c>
      <c r="P21" s="75" t="str">
        <f>IFERROR(VLOOKUP($J$1,Representantes_IV[],$N21,0),"-")</f>
        <v>-</v>
      </c>
    </row>
    <row r="22" spans="2:16" x14ac:dyDescent="0.25">
      <c r="I22" s="66" t="s">
        <v>396</v>
      </c>
      <c r="J22" s="85"/>
      <c r="K22" s="85">
        <v>1</v>
      </c>
      <c r="L22" s="85"/>
      <c r="M22"/>
      <c r="N22" s="67">
        <v>22</v>
      </c>
      <c r="O22" s="68" t="s">
        <v>188</v>
      </c>
      <c r="P22" s="75">
        <f>IFERROR(VLOOKUP($J$1,Representantes_IV[],$N22,0),"-")</f>
        <v>0.92800000000000005</v>
      </c>
    </row>
    <row r="23" spans="2:16" ht="15.75" x14ac:dyDescent="0.25">
      <c r="B23" s="88" t="str">
        <f>"Demanda " &amp;C5</f>
        <v>Demanda 2020/2021 (01-Jul)</v>
      </c>
      <c r="I23" s="66" t="s">
        <v>399</v>
      </c>
      <c r="J23" s="85">
        <v>1</v>
      </c>
      <c r="K23" s="85"/>
      <c r="L23" s="85"/>
      <c r="M23"/>
      <c r="N23" s="67">
        <v>23</v>
      </c>
      <c r="O23" s="68" t="s">
        <v>224</v>
      </c>
      <c r="P23" s="77">
        <f>IFERROR(VLOOKUP($J$1,Representantes_IV[],$N23,0),"-")</f>
        <v>0</v>
      </c>
    </row>
    <row r="24" spans="2:16" x14ac:dyDescent="0.25">
      <c r="I24" s="66" t="s">
        <v>402</v>
      </c>
      <c r="J24" s="85">
        <v>4</v>
      </c>
      <c r="K24" s="85">
        <v>3</v>
      </c>
      <c r="L24" s="85"/>
      <c r="M24"/>
      <c r="N24" s="67">
        <v>24</v>
      </c>
      <c r="O24" s="68" t="s">
        <v>225</v>
      </c>
      <c r="P24" s="77">
        <f>IFERROR(VLOOKUP($J$1,Representantes_IV[],$N24,0),"-")</f>
        <v>0</v>
      </c>
    </row>
    <row r="25" spans="2:16" x14ac:dyDescent="0.25">
      <c r="I25" s="66" t="s">
        <v>403</v>
      </c>
      <c r="J25" s="85">
        <v>2</v>
      </c>
      <c r="K25" s="85"/>
      <c r="L25" s="85"/>
      <c r="M25"/>
      <c r="N25" s="67">
        <v>25</v>
      </c>
      <c r="O25" s="68" t="s">
        <v>226</v>
      </c>
      <c r="P25" s="77">
        <f>IFERROR(VLOOKUP($J$1,Representantes_IV[],$N25,0),"-")</f>
        <v>0</v>
      </c>
    </row>
    <row r="26" spans="2:16" x14ac:dyDescent="0.25">
      <c r="I26" s="66" t="s">
        <v>407</v>
      </c>
      <c r="J26" s="85"/>
      <c r="K26" s="85"/>
      <c r="L26" s="85">
        <v>700</v>
      </c>
      <c r="M26"/>
      <c r="N26" s="67">
        <v>26</v>
      </c>
      <c r="O26" s="68" t="s">
        <v>227</v>
      </c>
      <c r="P26" s="77">
        <f>IFERROR(VLOOKUP($J$1,Representantes_IV[],$N26,0),"-")</f>
        <v>0</v>
      </c>
    </row>
    <row r="27" spans="2:16" x14ac:dyDescent="0.25">
      <c r="I27" s="66" t="s">
        <v>415</v>
      </c>
      <c r="J27" s="85">
        <v>5</v>
      </c>
      <c r="K27" s="85"/>
      <c r="L27" s="85"/>
      <c r="M27"/>
      <c r="N27" s="67">
        <v>27</v>
      </c>
      <c r="O27" s="68" t="s">
        <v>228</v>
      </c>
      <c r="P27" s="77">
        <f>IFERROR(VLOOKUP($J$1,Representantes_IV[],$N27,0),"-")</f>
        <v>261.75330000000002</v>
      </c>
    </row>
    <row r="28" spans="2:16" x14ac:dyDescent="0.25">
      <c r="I28" s="66" t="s">
        <v>419</v>
      </c>
      <c r="J28" s="85"/>
      <c r="K28" s="85"/>
      <c r="L28" s="85">
        <v>2100</v>
      </c>
      <c r="M28"/>
      <c r="N28" s="67">
        <v>28</v>
      </c>
      <c r="O28" s="68" t="s">
        <v>229</v>
      </c>
      <c r="P28" s="75">
        <f>IFERROR(VLOOKUP($J$1,Representantes_IV[],$N28,0),"-")</f>
        <v>0</v>
      </c>
    </row>
    <row r="29" spans="2:16" x14ac:dyDescent="0.25">
      <c r="I29" s="66" t="s">
        <v>426</v>
      </c>
      <c r="J29" s="85"/>
      <c r="K29" s="85"/>
      <c r="L29" s="85">
        <v>345</v>
      </c>
      <c r="M29"/>
      <c r="N29" s="67">
        <v>29</v>
      </c>
      <c r="O29" s="68" t="s">
        <v>230</v>
      </c>
      <c r="P29" s="75">
        <f>IFERROR(VLOOKUP($J$1,Representantes_IV[],$N29,0),"-")</f>
        <v>0</v>
      </c>
    </row>
    <row r="30" spans="2:16" x14ac:dyDescent="0.25">
      <c r="I30" s="66" t="s">
        <v>427</v>
      </c>
      <c r="J30" s="85">
        <v>40</v>
      </c>
      <c r="K30" s="85"/>
      <c r="L30" s="85"/>
      <c r="M30"/>
      <c r="N30" s="67">
        <v>30</v>
      </c>
      <c r="O30" s="68" t="s">
        <v>231</v>
      </c>
      <c r="P30" s="75">
        <f>IFERROR(VLOOKUP($J$1,Representantes_IV[],$N30,0),"-")</f>
        <v>0</v>
      </c>
    </row>
    <row r="31" spans="2:16" x14ac:dyDescent="0.25">
      <c r="I31" s="66" t="s">
        <v>429</v>
      </c>
      <c r="J31" s="85">
        <v>4</v>
      </c>
      <c r="K31" s="85"/>
      <c r="L31" s="85"/>
      <c r="M31"/>
      <c r="N31" s="67">
        <v>31</v>
      </c>
      <c r="O31" s="68" t="s">
        <v>232</v>
      </c>
      <c r="P31" s="75">
        <f>IFERROR(VLOOKUP($J$1,Representantes_IV[],$N31,0),"-")</f>
        <v>0</v>
      </c>
    </row>
    <row r="32" spans="2:16" x14ac:dyDescent="0.25">
      <c r="I32" s="66" t="s">
        <v>436</v>
      </c>
      <c r="J32" s="85"/>
      <c r="K32" s="85">
        <v>10</v>
      </c>
      <c r="L32" s="85"/>
      <c r="M32"/>
      <c r="N32" s="67">
        <v>32</v>
      </c>
      <c r="O32" s="68" t="s">
        <v>233</v>
      </c>
      <c r="P32" s="75">
        <f>IFERROR(VLOOKUP($J$1,Representantes_IV[],$N32,0),"-")</f>
        <v>0</v>
      </c>
    </row>
    <row r="33" spans="9:16" x14ac:dyDescent="0.25">
      <c r="I33" s="66" t="s">
        <v>438</v>
      </c>
      <c r="J33" s="85"/>
      <c r="K33" s="85"/>
      <c r="L33" s="85">
        <v>600</v>
      </c>
      <c r="M33"/>
      <c r="N33" s="67">
        <v>33</v>
      </c>
      <c r="O33" s="68" t="s">
        <v>207</v>
      </c>
      <c r="P33" s="77">
        <f>IFERROR(VLOOKUP($J$1,Representantes_IV[],$N33,0),"-")</f>
        <v>0</v>
      </c>
    </row>
    <row r="34" spans="9:16" x14ac:dyDescent="0.25">
      <c r="I34" s="66" t="s">
        <v>311</v>
      </c>
      <c r="J34" s="85"/>
      <c r="K34" s="85"/>
      <c r="L34" s="85">
        <v>350</v>
      </c>
      <c r="M34"/>
      <c r="N34" s="67">
        <v>34</v>
      </c>
      <c r="O34" s="68" t="s">
        <v>208</v>
      </c>
      <c r="P34" s="77">
        <f>IFERROR(VLOOKUP($J$1,Representantes_IV[],$N34,0),"-")</f>
        <v>0</v>
      </c>
    </row>
    <row r="35" spans="9:16" x14ac:dyDescent="0.25">
      <c r="I35" s="66" t="s">
        <v>268</v>
      </c>
      <c r="J35" s="85">
        <v>116</v>
      </c>
      <c r="K35" s="85">
        <v>113</v>
      </c>
      <c r="L35" s="85">
        <v>6940</v>
      </c>
      <c r="M35"/>
      <c r="N35" s="67">
        <v>35</v>
      </c>
      <c r="O35" s="68" t="s">
        <v>210</v>
      </c>
      <c r="P35" s="77">
        <f>IFERROR(VLOOKUP($J$1,Representantes_IV[],$N35,0),"-")</f>
        <v>0</v>
      </c>
    </row>
    <row r="36" spans="9:16" x14ac:dyDescent="0.25">
      <c r="I36"/>
      <c r="J36"/>
      <c r="K36"/>
      <c r="L36"/>
      <c r="M36"/>
      <c r="N36" s="67">
        <v>36</v>
      </c>
      <c r="O36" s="68" t="s">
        <v>209</v>
      </c>
      <c r="P36" s="77">
        <f>IFERROR(VLOOKUP($J$1,Representantes_IV[],$N36,0),"-")</f>
        <v>0</v>
      </c>
    </row>
    <row r="37" spans="9:16" x14ac:dyDescent="0.25">
      <c r="I37"/>
      <c r="J37"/>
      <c r="K37"/>
      <c r="L37"/>
      <c r="M37"/>
      <c r="N37" s="67">
        <v>37</v>
      </c>
      <c r="O37" s="68" t="s">
        <v>211</v>
      </c>
      <c r="P37" s="77">
        <f>IFERROR(VLOOKUP($J$1,Representantes_IV[],$N37,0),"-")</f>
        <v>0</v>
      </c>
    </row>
    <row r="38" spans="9:16" x14ac:dyDescent="0.25">
      <c r="I38"/>
      <c r="J38"/>
      <c r="K38"/>
      <c r="L38"/>
      <c r="M38"/>
      <c r="N38" s="67">
        <v>38</v>
      </c>
      <c r="O38" s="68" t="s">
        <v>189</v>
      </c>
      <c r="P38" s="77">
        <f>IFERROR(VLOOKUP($J$1,Representantes_IV[],$N38,0),"-")</f>
        <v>0</v>
      </c>
    </row>
    <row r="39" spans="9:16" x14ac:dyDescent="0.25">
      <c r="I39"/>
      <c r="J39"/>
      <c r="K39"/>
      <c r="L39"/>
      <c r="M39"/>
      <c r="N39" s="67">
        <v>39</v>
      </c>
      <c r="O39" s="68" t="s">
        <v>190</v>
      </c>
      <c r="P39" s="77">
        <f>IFERROR(VLOOKUP($J$1,Representantes_IV[],$N39,0),"-")</f>
        <v>0</v>
      </c>
    </row>
    <row r="40" spans="9:16" x14ac:dyDescent="0.25">
      <c r="I40"/>
      <c r="J40"/>
      <c r="K40"/>
      <c r="L40"/>
      <c r="M40"/>
      <c r="N40" s="67">
        <v>40</v>
      </c>
      <c r="O40" s="68" t="s">
        <v>191</v>
      </c>
      <c r="P40" s="77">
        <f>IFERROR(VLOOKUP($J$1,Representantes_IV[],$N40,0),"-")</f>
        <v>0</v>
      </c>
    </row>
    <row r="41" spans="9:16" x14ac:dyDescent="0.25">
      <c r="I41"/>
      <c r="J41"/>
      <c r="K41"/>
      <c r="L41"/>
      <c r="M41"/>
      <c r="N41" s="67">
        <v>41</v>
      </c>
      <c r="O41" s="68" t="s">
        <v>192</v>
      </c>
      <c r="P41" s="77">
        <f>IFERROR(VLOOKUP($J$1,Representantes_IV[],$N41,0),"-")</f>
        <v>0</v>
      </c>
    </row>
    <row r="42" spans="9:16" x14ac:dyDescent="0.25">
      <c r="I42"/>
      <c r="J42"/>
      <c r="K42"/>
      <c r="L42"/>
      <c r="M42"/>
      <c r="N42" s="67">
        <v>42</v>
      </c>
      <c r="O42" s="68" t="s">
        <v>193</v>
      </c>
      <c r="P42" s="77">
        <f>IFERROR(VLOOKUP($J$1,Representantes_IV[],$N42,0),"-")</f>
        <v>261.75330000000002</v>
      </c>
    </row>
    <row r="43" spans="9:16" x14ac:dyDescent="0.25">
      <c r="I43"/>
      <c r="J43"/>
      <c r="K43"/>
      <c r="L43"/>
      <c r="M43"/>
      <c r="N43" s="67">
        <v>43</v>
      </c>
      <c r="O43" s="68" t="s">
        <v>241</v>
      </c>
      <c r="P43" s="77">
        <f>IFERROR(VLOOKUP($J$1,Representantes_IV[],$N43,0),"-")</f>
        <v>24875647.060000017</v>
      </c>
    </row>
    <row r="44" spans="9:16" x14ac:dyDescent="0.25">
      <c r="I44"/>
      <c r="J44"/>
      <c r="K44"/>
      <c r="L44"/>
      <c r="M44"/>
      <c r="N44" s="67">
        <v>44</v>
      </c>
      <c r="O44" s="68" t="s">
        <v>242</v>
      </c>
      <c r="P44" s="77">
        <f>IFERROR(VLOOKUP($J$1,Representantes_IV[],$N44,0),"-")</f>
        <v>30797896.699999992</v>
      </c>
    </row>
    <row r="45" spans="9:16" x14ac:dyDescent="0.25">
      <c r="I45"/>
      <c r="J45"/>
      <c r="K45"/>
      <c r="L45"/>
      <c r="M45"/>
      <c r="N45" s="67">
        <v>45</v>
      </c>
      <c r="O45" s="68" t="s">
        <v>243</v>
      </c>
      <c r="P45" s="75">
        <f>IFERROR(VLOOKUP($J$1,Representantes_IV[],$N45,0),"-")</f>
        <v>1.2389999999999999</v>
      </c>
    </row>
    <row r="46" spans="9:16" x14ac:dyDescent="0.25">
      <c r="I46"/>
      <c r="J46"/>
      <c r="K46"/>
      <c r="L46"/>
      <c r="M46"/>
      <c r="N46" s="67">
        <v>46</v>
      </c>
      <c r="O46" s="68" t="s">
        <v>244</v>
      </c>
      <c r="P46" s="77">
        <f>IFERROR(VLOOKUP($J$1,Representantes_IV[],$N46,0),"-")</f>
        <v>631.32569999999998</v>
      </c>
    </row>
    <row r="47" spans="9:16" x14ac:dyDescent="0.25">
      <c r="I47"/>
      <c r="J47"/>
      <c r="K47"/>
      <c r="L47"/>
      <c r="M47"/>
      <c r="N47" s="67">
        <v>47</v>
      </c>
      <c r="O47" s="68" t="s">
        <v>254</v>
      </c>
      <c r="P47" s="70">
        <f>IFERROR(VLOOKUP($J$1,Representantes_IV[],$N47,0),"-")</f>
        <v>84</v>
      </c>
    </row>
    <row r="48" spans="9:16" x14ac:dyDescent="0.25">
      <c r="I48"/>
      <c r="J48"/>
      <c r="K48"/>
      <c r="L48"/>
      <c r="M48"/>
      <c r="N48" s="67">
        <v>48</v>
      </c>
      <c r="O48" s="68" t="s">
        <v>255</v>
      </c>
      <c r="P48" s="70">
        <f>IFERROR(VLOOKUP($J$1,Representantes_IV[],$N48,0),"-")</f>
        <v>125</v>
      </c>
    </row>
    <row r="49" spans="9:16" x14ac:dyDescent="0.25">
      <c r="I49"/>
      <c r="J49"/>
      <c r="K49"/>
      <c r="L49"/>
      <c r="M49"/>
      <c r="N49" s="67">
        <v>49</v>
      </c>
      <c r="O49" s="68" t="s">
        <v>256</v>
      </c>
      <c r="P49" s="75">
        <f>IFERROR(VLOOKUP($J$1,Representantes_IV[],$N49,0),"-")</f>
        <v>1.4889999999999999</v>
      </c>
    </row>
    <row r="50" spans="9:16" x14ac:dyDescent="0.25">
      <c r="I50"/>
      <c r="J50"/>
      <c r="K50"/>
      <c r="L50"/>
      <c r="M50"/>
      <c r="N50" s="67">
        <v>50</v>
      </c>
      <c r="O50" s="68" t="s">
        <v>257</v>
      </c>
      <c r="P50" s="77">
        <f>IFERROR(VLOOKUP($J$1,Representantes_IV[],$N50,0),"-")</f>
        <v>1536.9623999999999</v>
      </c>
    </row>
    <row r="51" spans="9:16" x14ac:dyDescent="0.25">
      <c r="I51"/>
      <c r="J51"/>
      <c r="K51"/>
      <c r="L51"/>
      <c r="M51"/>
      <c r="N51" s="67">
        <v>51</v>
      </c>
      <c r="O51" s="68" t="s">
        <v>258</v>
      </c>
      <c r="P51" s="75">
        <f>IFERROR(VLOOKUP($J$1,Representantes_IV[],$N51,0),"-")</f>
        <v>1</v>
      </c>
    </row>
    <row r="52" spans="9:16" x14ac:dyDescent="0.25">
      <c r="I52"/>
      <c r="J52"/>
      <c r="K52"/>
      <c r="L52"/>
      <c r="M52"/>
      <c r="N52" s="67">
        <v>52</v>
      </c>
      <c r="O52" s="68" t="s">
        <v>262</v>
      </c>
      <c r="P52" s="77">
        <f>IFERROR(VLOOKUP($J$1,Representantes_IV[],$N52,0),"-")</f>
        <v>376.08229999999998</v>
      </c>
    </row>
    <row r="53" spans="9:16" x14ac:dyDescent="0.25">
      <c r="I53"/>
      <c r="J53"/>
      <c r="K53"/>
      <c r="L53"/>
      <c r="M53"/>
      <c r="N53" s="67">
        <v>53</v>
      </c>
      <c r="O53" s="68" t="s">
        <v>259</v>
      </c>
      <c r="P53" s="75">
        <f>IFERROR(VLOOKUP($J$1,Representantes_IV[],$N53,0),"-")</f>
        <v>1</v>
      </c>
    </row>
    <row r="54" spans="9:16" x14ac:dyDescent="0.25">
      <c r="I54"/>
      <c r="J54"/>
      <c r="K54"/>
      <c r="L54"/>
      <c r="M54"/>
      <c r="N54" s="67">
        <v>54</v>
      </c>
      <c r="O54" s="68" t="s">
        <v>263</v>
      </c>
      <c r="P54" s="77">
        <f>IFERROR(VLOOKUP($J$1,Representantes_IV[],$N54,0),"-")</f>
        <v>1128.2470000000001</v>
      </c>
    </row>
    <row r="55" spans="9:16" x14ac:dyDescent="0.25">
      <c r="I55"/>
      <c r="J55"/>
      <c r="K55"/>
      <c r="L55"/>
      <c r="M55"/>
      <c r="N55" s="67">
        <v>55</v>
      </c>
      <c r="O55" s="68" t="s">
        <v>260</v>
      </c>
      <c r="P55" s="75">
        <f>IFERROR(VLOOKUP($J$1,Representantes_IV[],$N55,0),"-")</f>
        <v>1</v>
      </c>
    </row>
    <row r="56" spans="9:16" x14ac:dyDescent="0.25">
      <c r="I56"/>
      <c r="J56"/>
      <c r="K56"/>
      <c r="L56"/>
      <c r="M56"/>
      <c r="N56" s="67">
        <v>56</v>
      </c>
      <c r="O56" s="68" t="s">
        <v>264</v>
      </c>
      <c r="P56" s="77">
        <f>IFERROR(VLOOKUP($J$1,Representantes_IV[],$N56,0),"-")</f>
        <v>376.08229999999998</v>
      </c>
    </row>
    <row r="57" spans="9:16" x14ac:dyDescent="0.25">
      <c r="I57"/>
      <c r="J57"/>
      <c r="K57"/>
      <c r="L57"/>
      <c r="M57"/>
      <c r="N57" s="67">
        <v>57</v>
      </c>
      <c r="O57" s="68" t="s">
        <v>261</v>
      </c>
      <c r="P57" s="75">
        <f>IFERROR(VLOOKUP($J$1,Representantes_IV[],$N57,0),"-")</f>
        <v>1</v>
      </c>
    </row>
    <row r="58" spans="9:16" x14ac:dyDescent="0.25">
      <c r="I58"/>
      <c r="J58"/>
      <c r="K58"/>
      <c r="L58"/>
      <c r="M58"/>
      <c r="N58" s="67">
        <v>58</v>
      </c>
      <c r="O58" s="68" t="s">
        <v>265</v>
      </c>
      <c r="P58" s="77">
        <f>IFERROR(VLOOKUP($J$1,Representantes_IV[],$N58,0),"-")</f>
        <v>376.08229999999998</v>
      </c>
    </row>
    <row r="59" spans="9:16" x14ac:dyDescent="0.25">
      <c r="I59"/>
      <c r="J59"/>
      <c r="K59"/>
      <c r="L59"/>
      <c r="M59"/>
      <c r="N59" s="67">
        <v>59</v>
      </c>
      <c r="O59" s="68" t="s">
        <v>266</v>
      </c>
      <c r="P59" s="77">
        <f>IFERROR(VLOOKUP($J$1,Representantes_IV[],$N59,0),"-")</f>
        <v>4686.5353000000005</v>
      </c>
    </row>
    <row r="60" spans="9:16" x14ac:dyDescent="0.25">
      <c r="I60"/>
      <c r="J60"/>
      <c r="K60"/>
      <c r="L60"/>
      <c r="M60"/>
    </row>
    <row r="61" spans="9:16" x14ac:dyDescent="0.25">
      <c r="I61"/>
      <c r="J61"/>
      <c r="K61"/>
      <c r="L61"/>
      <c r="M61"/>
    </row>
    <row r="62" spans="9:16" x14ac:dyDescent="0.25">
      <c r="I62"/>
      <c r="J62"/>
      <c r="K62"/>
      <c r="L62"/>
      <c r="M62"/>
    </row>
    <row r="63" spans="9:16" x14ac:dyDescent="0.25">
      <c r="I63"/>
      <c r="J63"/>
      <c r="K63"/>
      <c r="L63"/>
      <c r="M63"/>
    </row>
    <row r="64" spans="9:16" x14ac:dyDescent="0.25">
      <c r="I64"/>
      <c r="J64"/>
      <c r="K64"/>
      <c r="L64"/>
      <c r="M64"/>
    </row>
    <row r="65" spans="9:13" x14ac:dyDescent="0.25">
      <c r="I65"/>
      <c r="J65"/>
      <c r="K65"/>
      <c r="L65"/>
      <c r="M65"/>
    </row>
    <row r="66" spans="9:13" x14ac:dyDescent="0.25">
      <c r="I66"/>
      <c r="J66"/>
      <c r="K66"/>
      <c r="L66"/>
      <c r="M66"/>
    </row>
    <row r="67" spans="9:13" x14ac:dyDescent="0.25">
      <c r="I67"/>
      <c r="J67"/>
      <c r="K67"/>
      <c r="L67"/>
      <c r="M67"/>
    </row>
    <row r="68" spans="9:13" x14ac:dyDescent="0.25">
      <c r="I68"/>
      <c r="J68"/>
      <c r="K68"/>
      <c r="L68"/>
      <c r="M68"/>
    </row>
    <row r="69" spans="9:13" x14ac:dyDescent="0.25">
      <c r="I69"/>
      <c r="J69"/>
      <c r="K69"/>
      <c r="L69"/>
      <c r="M69"/>
    </row>
    <row r="70" spans="9:13" x14ac:dyDescent="0.25">
      <c r="I70"/>
      <c r="J70"/>
      <c r="K70"/>
      <c r="L70"/>
      <c r="M70"/>
    </row>
    <row r="71" spans="9:13" x14ac:dyDescent="0.25">
      <c r="I71"/>
      <c r="J71"/>
      <c r="K71"/>
      <c r="L71"/>
      <c r="M71"/>
    </row>
    <row r="72" spans="9:13" x14ac:dyDescent="0.25">
      <c r="I72"/>
      <c r="J72"/>
      <c r="K72"/>
      <c r="L72"/>
      <c r="M72"/>
    </row>
    <row r="73" spans="9:13" x14ac:dyDescent="0.25">
      <c r="I73"/>
      <c r="J73"/>
      <c r="K73"/>
      <c r="L73"/>
      <c r="M73"/>
    </row>
    <row r="74" spans="9:13" x14ac:dyDescent="0.25">
      <c r="I74"/>
      <c r="J74"/>
      <c r="K74"/>
      <c r="L74"/>
      <c r="M74"/>
    </row>
    <row r="75" spans="9:13" x14ac:dyDescent="0.25">
      <c r="I75"/>
      <c r="J75"/>
      <c r="K75"/>
      <c r="L75"/>
      <c r="M75"/>
    </row>
    <row r="76" spans="9:13" x14ac:dyDescent="0.25">
      <c r="I76"/>
      <c r="J76"/>
      <c r="K76"/>
      <c r="L76"/>
      <c r="M76"/>
    </row>
    <row r="77" spans="9:13" x14ac:dyDescent="0.25">
      <c r="I77"/>
      <c r="J77"/>
      <c r="K77"/>
      <c r="L77"/>
      <c r="M77"/>
    </row>
    <row r="78" spans="9:13" x14ac:dyDescent="0.25">
      <c r="I78"/>
      <c r="J78"/>
      <c r="K78"/>
      <c r="L78"/>
      <c r="M78"/>
    </row>
    <row r="79" spans="9:13" x14ac:dyDescent="0.25">
      <c r="I79"/>
      <c r="J79"/>
      <c r="K79"/>
      <c r="L79"/>
      <c r="M79"/>
    </row>
    <row r="80" spans="9:13" x14ac:dyDescent="0.25">
      <c r="I80"/>
      <c r="J80"/>
      <c r="K80"/>
      <c r="L80"/>
      <c r="M80"/>
    </row>
    <row r="81" spans="9:13" x14ac:dyDescent="0.25">
      <c r="I81"/>
      <c r="J81"/>
      <c r="K81"/>
      <c r="L81"/>
      <c r="M81"/>
    </row>
    <row r="82" spans="9:13" x14ac:dyDescent="0.25">
      <c r="I82"/>
      <c r="J82"/>
      <c r="K82"/>
      <c r="L82"/>
      <c r="M82"/>
    </row>
    <row r="83" spans="9:13" x14ac:dyDescent="0.25">
      <c r="I83"/>
      <c r="J83"/>
      <c r="K83"/>
      <c r="L83"/>
      <c r="M83"/>
    </row>
    <row r="84" spans="9:13" x14ac:dyDescent="0.25">
      <c r="I84"/>
      <c r="J84"/>
      <c r="K84"/>
      <c r="L84"/>
      <c r="M84"/>
    </row>
    <row r="85" spans="9:13" x14ac:dyDescent="0.25">
      <c r="I85"/>
      <c r="J85"/>
      <c r="K85"/>
      <c r="L85"/>
      <c r="M85"/>
    </row>
    <row r="86" spans="9:13" x14ac:dyDescent="0.25">
      <c r="I86"/>
      <c r="J86"/>
      <c r="K86"/>
      <c r="L86"/>
      <c r="M86"/>
    </row>
    <row r="87" spans="9:13" x14ac:dyDescent="0.25">
      <c r="I87"/>
      <c r="J87"/>
      <c r="K87"/>
      <c r="L87"/>
      <c r="M87"/>
    </row>
    <row r="88" spans="9:13" x14ac:dyDescent="0.25">
      <c r="I88"/>
      <c r="J88"/>
      <c r="K88"/>
      <c r="L88"/>
      <c r="M88"/>
    </row>
    <row r="89" spans="9:13" x14ac:dyDescent="0.25">
      <c r="I89"/>
      <c r="J89"/>
      <c r="K89"/>
      <c r="L89"/>
      <c r="M89"/>
    </row>
    <row r="90" spans="9:13" x14ac:dyDescent="0.25">
      <c r="I90"/>
      <c r="J90"/>
      <c r="K90"/>
      <c r="L90"/>
      <c r="M90"/>
    </row>
    <row r="91" spans="9:13" x14ac:dyDescent="0.25">
      <c r="I91"/>
      <c r="J91"/>
      <c r="K91"/>
      <c r="L91"/>
      <c r="M91"/>
    </row>
    <row r="92" spans="9:13" x14ac:dyDescent="0.25">
      <c r="I92"/>
      <c r="J92"/>
      <c r="K92"/>
      <c r="L92"/>
      <c r="M92"/>
    </row>
    <row r="93" spans="9:13" x14ac:dyDescent="0.25">
      <c r="I93"/>
      <c r="J93"/>
      <c r="K93"/>
      <c r="L93"/>
      <c r="M93"/>
    </row>
    <row r="94" spans="9:13" x14ac:dyDescent="0.25">
      <c r="I94"/>
      <c r="J94"/>
      <c r="K94"/>
      <c r="L94"/>
      <c r="M94"/>
    </row>
    <row r="95" spans="9:13" x14ac:dyDescent="0.25">
      <c r="I95"/>
      <c r="J95"/>
      <c r="K95"/>
      <c r="L95"/>
      <c r="M95"/>
    </row>
    <row r="96" spans="9:13" x14ac:dyDescent="0.25">
      <c r="I96"/>
      <c r="J96"/>
      <c r="K96"/>
      <c r="L96"/>
      <c r="M96"/>
    </row>
    <row r="97" spans="9:13" x14ac:dyDescent="0.25">
      <c r="I97"/>
      <c r="J97"/>
      <c r="K97"/>
      <c r="L97"/>
      <c r="M97"/>
    </row>
    <row r="98" spans="9:13" x14ac:dyDescent="0.25">
      <c r="I98"/>
      <c r="J98"/>
      <c r="K98"/>
      <c r="L98"/>
      <c r="M98"/>
    </row>
    <row r="99" spans="9:13" x14ac:dyDescent="0.25">
      <c r="I99"/>
      <c r="J99"/>
      <c r="K99"/>
      <c r="L99"/>
      <c r="M99"/>
    </row>
    <row r="100" spans="9:13" x14ac:dyDescent="0.25">
      <c r="I100"/>
      <c r="J100"/>
      <c r="K100"/>
      <c r="L100"/>
      <c r="M100"/>
    </row>
    <row r="101" spans="9:13" x14ac:dyDescent="0.25">
      <c r="I101"/>
      <c r="J101"/>
      <c r="K101"/>
      <c r="L101"/>
      <c r="M101"/>
    </row>
    <row r="102" spans="9:13" x14ac:dyDescent="0.25">
      <c r="I102"/>
      <c r="J102"/>
      <c r="K102"/>
      <c r="L102"/>
      <c r="M102"/>
    </row>
    <row r="103" spans="9:13" x14ac:dyDescent="0.25">
      <c r="I103"/>
      <c r="J103"/>
      <c r="K103"/>
      <c r="L103"/>
      <c r="M103"/>
    </row>
    <row r="104" spans="9:13" x14ac:dyDescent="0.25">
      <c r="I104"/>
      <c r="J104"/>
      <c r="K104"/>
      <c r="L104"/>
      <c r="M104"/>
    </row>
    <row r="105" spans="9:13" x14ac:dyDescent="0.25">
      <c r="I105"/>
      <c r="J105"/>
      <c r="K105"/>
      <c r="L105"/>
      <c r="M105"/>
    </row>
    <row r="106" spans="9:13" x14ac:dyDescent="0.25">
      <c r="I106"/>
      <c r="J106"/>
      <c r="K106"/>
      <c r="L106"/>
      <c r="M106"/>
    </row>
    <row r="107" spans="9:13" x14ac:dyDescent="0.25">
      <c r="I107"/>
      <c r="J107"/>
      <c r="K107"/>
      <c r="L107"/>
      <c r="M107"/>
    </row>
    <row r="108" spans="9:13" x14ac:dyDescent="0.25">
      <c r="I108"/>
      <c r="J108"/>
      <c r="K108"/>
      <c r="L108"/>
      <c r="M108"/>
    </row>
    <row r="109" spans="9:13" x14ac:dyDescent="0.25">
      <c r="I109"/>
      <c r="J109"/>
      <c r="K109"/>
      <c r="L109"/>
      <c r="M109"/>
    </row>
    <row r="110" spans="9:13" x14ac:dyDescent="0.25">
      <c r="I110"/>
      <c r="J110"/>
      <c r="K110"/>
      <c r="L110"/>
      <c r="M110"/>
    </row>
    <row r="111" spans="9:13" x14ac:dyDescent="0.25">
      <c r="I111"/>
      <c r="J111"/>
      <c r="K111"/>
      <c r="L111"/>
      <c r="M111"/>
    </row>
    <row r="112" spans="9:13" x14ac:dyDescent="0.25">
      <c r="I112"/>
      <c r="J112"/>
      <c r="K112"/>
      <c r="L112"/>
      <c r="M112"/>
    </row>
    <row r="113" spans="9:13" x14ac:dyDescent="0.25">
      <c r="I113"/>
      <c r="J113"/>
      <c r="K113"/>
      <c r="L113"/>
      <c r="M113"/>
    </row>
    <row r="114" spans="9:13" x14ac:dyDescent="0.25">
      <c r="I114"/>
      <c r="J114"/>
      <c r="K114"/>
      <c r="L114"/>
      <c r="M114"/>
    </row>
    <row r="115" spans="9:13" x14ac:dyDescent="0.25">
      <c r="I115"/>
      <c r="J115"/>
      <c r="K115"/>
      <c r="L115"/>
      <c r="M115"/>
    </row>
    <row r="116" spans="9:13" x14ac:dyDescent="0.25">
      <c r="I116"/>
      <c r="J116"/>
      <c r="K116"/>
      <c r="L116"/>
      <c r="M116"/>
    </row>
    <row r="117" spans="9:13" x14ac:dyDescent="0.25">
      <c r="I117"/>
      <c r="J117"/>
      <c r="K117"/>
      <c r="L117"/>
      <c r="M117"/>
    </row>
    <row r="118" spans="9:13" x14ac:dyDescent="0.25">
      <c r="I118"/>
      <c r="J118"/>
      <c r="K118"/>
      <c r="L118"/>
      <c r="M118"/>
    </row>
    <row r="119" spans="9:13" x14ac:dyDescent="0.25">
      <c r="I119"/>
      <c r="J119"/>
      <c r="K119"/>
      <c r="L119"/>
      <c r="M119"/>
    </row>
    <row r="120" spans="9:13" x14ac:dyDescent="0.25">
      <c r="I120"/>
      <c r="J120"/>
      <c r="K120"/>
      <c r="L120"/>
      <c r="M120"/>
    </row>
    <row r="121" spans="9:13" x14ac:dyDescent="0.25">
      <c r="I121"/>
      <c r="J121"/>
      <c r="K121"/>
      <c r="L121"/>
      <c r="M121"/>
    </row>
    <row r="122" spans="9:13" x14ac:dyDescent="0.25">
      <c r="I122"/>
      <c r="J122"/>
      <c r="K122"/>
      <c r="L122"/>
      <c r="M122"/>
    </row>
    <row r="123" spans="9:13" x14ac:dyDescent="0.25">
      <c r="I123"/>
      <c r="J123"/>
      <c r="K123"/>
      <c r="L123"/>
      <c r="M123"/>
    </row>
    <row r="124" spans="9:13" x14ac:dyDescent="0.25">
      <c r="I124"/>
      <c r="J124"/>
      <c r="K124"/>
      <c r="L124"/>
      <c r="M124"/>
    </row>
    <row r="125" spans="9:13" x14ac:dyDescent="0.25">
      <c r="I125"/>
      <c r="J125"/>
      <c r="K125"/>
      <c r="L125"/>
      <c r="M125"/>
    </row>
    <row r="126" spans="9:13" x14ac:dyDescent="0.25">
      <c r="I126"/>
      <c r="J126"/>
      <c r="K126"/>
      <c r="L126"/>
      <c r="M126"/>
    </row>
    <row r="127" spans="9:13" x14ac:dyDescent="0.25">
      <c r="I127"/>
      <c r="J127"/>
      <c r="K127"/>
      <c r="L127"/>
      <c r="M127"/>
    </row>
    <row r="128" spans="9:13" x14ac:dyDescent="0.25">
      <c r="I128"/>
      <c r="J128"/>
      <c r="K128"/>
      <c r="L128"/>
      <c r="M128"/>
    </row>
    <row r="129" spans="9:13" x14ac:dyDescent="0.25">
      <c r="I129"/>
      <c r="J129"/>
      <c r="K129"/>
      <c r="L129"/>
      <c r="M129"/>
    </row>
    <row r="130" spans="9:13" x14ac:dyDescent="0.25">
      <c r="I130"/>
      <c r="J130"/>
      <c r="K130"/>
      <c r="L130"/>
      <c r="M130"/>
    </row>
    <row r="131" spans="9:13" x14ac:dyDescent="0.25">
      <c r="I131"/>
      <c r="J131"/>
      <c r="K131"/>
      <c r="L131"/>
      <c r="M131"/>
    </row>
    <row r="132" spans="9:13" x14ac:dyDescent="0.25">
      <c r="I132"/>
      <c r="J132"/>
      <c r="K132"/>
      <c r="L132"/>
      <c r="M132"/>
    </row>
    <row r="133" spans="9:13" x14ac:dyDescent="0.25">
      <c r="I133"/>
      <c r="J133"/>
      <c r="K133"/>
      <c r="L133"/>
      <c r="M133"/>
    </row>
    <row r="134" spans="9:13" x14ac:dyDescent="0.25">
      <c r="I134"/>
      <c r="J134"/>
      <c r="K134"/>
      <c r="L134"/>
      <c r="M134"/>
    </row>
    <row r="135" spans="9:13" x14ac:dyDescent="0.25">
      <c r="I135"/>
      <c r="J135"/>
      <c r="K135"/>
      <c r="L135"/>
      <c r="M135"/>
    </row>
    <row r="136" spans="9:13" x14ac:dyDescent="0.25">
      <c r="I136"/>
      <c r="J136"/>
      <c r="K136"/>
      <c r="L136"/>
      <c r="M136"/>
    </row>
    <row r="137" spans="9:13" x14ac:dyDescent="0.25">
      <c r="I137"/>
      <c r="J137"/>
      <c r="K137"/>
      <c r="L137"/>
      <c r="M137"/>
    </row>
    <row r="138" spans="9:13" x14ac:dyDescent="0.25">
      <c r="I138"/>
      <c r="J138"/>
      <c r="K138"/>
      <c r="L138"/>
      <c r="M138"/>
    </row>
    <row r="139" spans="9:13" x14ac:dyDescent="0.25">
      <c r="I139"/>
      <c r="J139"/>
      <c r="K139"/>
      <c r="L139"/>
      <c r="M139"/>
    </row>
    <row r="140" spans="9:13" x14ac:dyDescent="0.25">
      <c r="I140"/>
      <c r="J140"/>
      <c r="K140"/>
      <c r="L140"/>
      <c r="M140"/>
    </row>
    <row r="141" spans="9:13" x14ac:dyDescent="0.25">
      <c r="I141"/>
      <c r="J141"/>
      <c r="K141"/>
      <c r="L141"/>
      <c r="M141"/>
    </row>
    <row r="142" spans="9:13" x14ac:dyDescent="0.25">
      <c r="I142"/>
      <c r="J142"/>
      <c r="K142"/>
      <c r="L142"/>
      <c r="M142"/>
    </row>
    <row r="143" spans="9:13" x14ac:dyDescent="0.25">
      <c r="I143"/>
      <c r="J143"/>
      <c r="K143"/>
      <c r="L143"/>
      <c r="M143"/>
    </row>
    <row r="144" spans="9:13" x14ac:dyDescent="0.25">
      <c r="I144"/>
      <c r="J144"/>
      <c r="K144"/>
      <c r="L144"/>
      <c r="M144"/>
    </row>
    <row r="145" spans="9:13" x14ac:dyDescent="0.25">
      <c r="I145"/>
      <c r="J145"/>
      <c r="K145"/>
      <c r="L145"/>
      <c r="M145"/>
    </row>
    <row r="146" spans="9:13" x14ac:dyDescent="0.25">
      <c r="I146"/>
      <c r="J146"/>
      <c r="K146"/>
      <c r="L146"/>
      <c r="M146"/>
    </row>
    <row r="147" spans="9:13" x14ac:dyDescent="0.25">
      <c r="I147"/>
      <c r="J147"/>
      <c r="K147"/>
      <c r="L147"/>
      <c r="M147"/>
    </row>
    <row r="148" spans="9:13" x14ac:dyDescent="0.25">
      <c r="I148"/>
      <c r="J148"/>
      <c r="K148"/>
      <c r="L148"/>
      <c r="M148"/>
    </row>
    <row r="149" spans="9:13" x14ac:dyDescent="0.25">
      <c r="I149"/>
      <c r="J149"/>
      <c r="K149"/>
      <c r="L149"/>
      <c r="M149"/>
    </row>
    <row r="150" spans="9:13" x14ac:dyDescent="0.25">
      <c r="I150"/>
      <c r="J150"/>
      <c r="K150"/>
      <c r="L150"/>
      <c r="M150"/>
    </row>
    <row r="151" spans="9:13" x14ac:dyDescent="0.25">
      <c r="I151"/>
      <c r="J151"/>
      <c r="K151"/>
      <c r="L151"/>
      <c r="M151"/>
    </row>
    <row r="152" spans="9:13" x14ac:dyDescent="0.25">
      <c r="I152"/>
      <c r="J152"/>
      <c r="K152"/>
      <c r="L152"/>
      <c r="M152"/>
    </row>
    <row r="153" spans="9:13" x14ac:dyDescent="0.25">
      <c r="I153"/>
      <c r="J153"/>
      <c r="K153"/>
      <c r="L153"/>
      <c r="M153"/>
    </row>
    <row r="154" spans="9:13" x14ac:dyDescent="0.25">
      <c r="I154"/>
      <c r="J154"/>
      <c r="K154"/>
      <c r="L154"/>
      <c r="M154"/>
    </row>
    <row r="155" spans="9:13" x14ac:dyDescent="0.25">
      <c r="I155"/>
      <c r="J155"/>
      <c r="K155"/>
      <c r="L155"/>
      <c r="M155"/>
    </row>
    <row r="156" spans="9:13" x14ac:dyDescent="0.25">
      <c r="I156"/>
      <c r="J156"/>
      <c r="K156"/>
      <c r="L156"/>
      <c r="M156"/>
    </row>
    <row r="157" spans="9:13" x14ac:dyDescent="0.25">
      <c r="I157"/>
      <c r="J157"/>
      <c r="K157"/>
      <c r="L157"/>
      <c r="M157"/>
    </row>
    <row r="158" spans="9:13" x14ac:dyDescent="0.25">
      <c r="I158"/>
      <c r="J158"/>
      <c r="K158"/>
      <c r="L158"/>
      <c r="M158"/>
    </row>
    <row r="159" spans="9:13" x14ac:dyDescent="0.25">
      <c r="I159"/>
      <c r="J159"/>
      <c r="K159"/>
      <c r="L159"/>
      <c r="M159"/>
    </row>
    <row r="160" spans="9:13" x14ac:dyDescent="0.25">
      <c r="I160"/>
      <c r="J160"/>
      <c r="K160"/>
      <c r="L160"/>
      <c r="M160"/>
    </row>
    <row r="161" spans="9:13" x14ac:dyDescent="0.25">
      <c r="I161"/>
      <c r="J161"/>
      <c r="K161"/>
      <c r="L161"/>
      <c r="M161"/>
    </row>
    <row r="162" spans="9:13" x14ac:dyDescent="0.25">
      <c r="I162"/>
      <c r="J162"/>
      <c r="K162"/>
      <c r="L162"/>
      <c r="M162"/>
    </row>
    <row r="163" spans="9:13" x14ac:dyDescent="0.25">
      <c r="I163"/>
      <c r="J163"/>
      <c r="K163"/>
      <c r="L163"/>
      <c r="M163"/>
    </row>
    <row r="164" spans="9:13" x14ac:dyDescent="0.25">
      <c r="I164"/>
      <c r="J164"/>
      <c r="K164"/>
      <c r="L164"/>
      <c r="M164"/>
    </row>
    <row r="165" spans="9:13" x14ac:dyDescent="0.25">
      <c r="I165"/>
      <c r="J165"/>
      <c r="K165"/>
      <c r="L165"/>
      <c r="M165"/>
    </row>
    <row r="166" spans="9:13" x14ac:dyDescent="0.25">
      <c r="I166"/>
      <c r="J166"/>
      <c r="K166"/>
      <c r="L166"/>
      <c r="M166"/>
    </row>
    <row r="167" spans="9:13" x14ac:dyDescent="0.25">
      <c r="I167"/>
      <c r="J167"/>
      <c r="K167"/>
      <c r="L167"/>
      <c r="M167"/>
    </row>
    <row r="168" spans="9:13" x14ac:dyDescent="0.25">
      <c r="I168"/>
      <c r="J168"/>
      <c r="K168"/>
      <c r="L168"/>
      <c r="M168"/>
    </row>
    <row r="169" spans="9:13" x14ac:dyDescent="0.25">
      <c r="I169"/>
      <c r="J169"/>
      <c r="K169"/>
      <c r="L169"/>
      <c r="M169"/>
    </row>
    <row r="170" spans="9:13" x14ac:dyDescent="0.25">
      <c r="I170"/>
      <c r="J170"/>
      <c r="K170"/>
      <c r="L170"/>
      <c r="M170"/>
    </row>
    <row r="171" spans="9:13" x14ac:dyDescent="0.25">
      <c r="I171"/>
      <c r="J171"/>
      <c r="K171"/>
      <c r="L171"/>
      <c r="M171"/>
    </row>
    <row r="172" spans="9:13" x14ac:dyDescent="0.25">
      <c r="I172"/>
      <c r="J172"/>
      <c r="K172"/>
      <c r="L172"/>
      <c r="M172"/>
    </row>
    <row r="173" spans="9:13" x14ac:dyDescent="0.25">
      <c r="I173"/>
      <c r="J173"/>
      <c r="K173"/>
      <c r="L173"/>
      <c r="M173"/>
    </row>
    <row r="174" spans="9:13" x14ac:dyDescent="0.25">
      <c r="I174"/>
      <c r="J174"/>
      <c r="K174"/>
      <c r="L174"/>
      <c r="M174"/>
    </row>
    <row r="175" spans="9:13" x14ac:dyDescent="0.25">
      <c r="I175"/>
      <c r="J175"/>
      <c r="K175"/>
      <c r="L175"/>
      <c r="M175"/>
    </row>
    <row r="176" spans="9:13" x14ac:dyDescent="0.25">
      <c r="I176"/>
      <c r="J176"/>
      <c r="K176"/>
      <c r="L176"/>
      <c r="M176"/>
    </row>
    <row r="177" spans="9:13" x14ac:dyDescent="0.25">
      <c r="I177"/>
      <c r="J177"/>
      <c r="K177"/>
      <c r="L177"/>
      <c r="M177"/>
    </row>
    <row r="178" spans="9:13" x14ac:dyDescent="0.25">
      <c r="I178"/>
      <c r="J178"/>
      <c r="K178"/>
      <c r="L178"/>
      <c r="M178"/>
    </row>
    <row r="179" spans="9:13" x14ac:dyDescent="0.25">
      <c r="I179"/>
      <c r="J179"/>
      <c r="K179"/>
      <c r="L179"/>
      <c r="M179"/>
    </row>
    <row r="180" spans="9:13" x14ac:dyDescent="0.25">
      <c r="I180"/>
      <c r="J180"/>
      <c r="K180"/>
      <c r="L180"/>
      <c r="M180"/>
    </row>
    <row r="181" spans="9:13" x14ac:dyDescent="0.25">
      <c r="I181"/>
      <c r="J181"/>
      <c r="K181"/>
      <c r="L181"/>
      <c r="M181"/>
    </row>
    <row r="182" spans="9:13" x14ac:dyDescent="0.25">
      <c r="I182"/>
      <c r="J182"/>
      <c r="K182"/>
      <c r="L182"/>
      <c r="M182"/>
    </row>
    <row r="183" spans="9:13" x14ac:dyDescent="0.25">
      <c r="I183"/>
      <c r="J183"/>
      <c r="K183"/>
      <c r="L183"/>
      <c r="M183"/>
    </row>
    <row r="184" spans="9:13" x14ac:dyDescent="0.25">
      <c r="I184"/>
      <c r="J184"/>
      <c r="K184"/>
      <c r="L184"/>
      <c r="M184"/>
    </row>
    <row r="185" spans="9:13" x14ac:dyDescent="0.25">
      <c r="I185"/>
      <c r="J185"/>
      <c r="K185"/>
      <c r="L185"/>
      <c r="M185"/>
    </row>
    <row r="186" spans="9:13" x14ac:dyDescent="0.25">
      <c r="I186"/>
      <c r="J186"/>
      <c r="K186"/>
      <c r="L186"/>
      <c r="M186"/>
    </row>
    <row r="187" spans="9:13" x14ac:dyDescent="0.25">
      <c r="I187"/>
      <c r="J187"/>
      <c r="K187"/>
      <c r="L187"/>
      <c r="M187"/>
    </row>
    <row r="188" spans="9:13" x14ac:dyDescent="0.25">
      <c r="I188"/>
      <c r="J188"/>
      <c r="K188"/>
      <c r="L188"/>
      <c r="M188"/>
    </row>
    <row r="189" spans="9:13" x14ac:dyDescent="0.25">
      <c r="I189"/>
      <c r="J189"/>
      <c r="K189"/>
      <c r="L189"/>
      <c r="M189"/>
    </row>
    <row r="190" spans="9:13" x14ac:dyDescent="0.25">
      <c r="I190"/>
      <c r="J190"/>
      <c r="K190"/>
      <c r="L190"/>
      <c r="M190"/>
    </row>
    <row r="191" spans="9:13" x14ac:dyDescent="0.25">
      <c r="I191"/>
      <c r="J191"/>
      <c r="K191"/>
      <c r="L191"/>
      <c r="M191"/>
    </row>
    <row r="192" spans="9:13" x14ac:dyDescent="0.25">
      <c r="I192"/>
      <c r="J192"/>
      <c r="K192"/>
      <c r="L192"/>
      <c r="M192"/>
    </row>
    <row r="193" spans="9:13" x14ac:dyDescent="0.25">
      <c r="I193"/>
      <c r="J193"/>
      <c r="K193"/>
      <c r="L193"/>
      <c r="M193"/>
    </row>
    <row r="194" spans="9:13" x14ac:dyDescent="0.25">
      <c r="I194"/>
      <c r="J194"/>
      <c r="K194"/>
      <c r="L194"/>
      <c r="M194"/>
    </row>
    <row r="195" spans="9:13" x14ac:dyDescent="0.25">
      <c r="I195"/>
      <c r="J195"/>
      <c r="K195"/>
      <c r="L195"/>
      <c r="M195"/>
    </row>
    <row r="196" spans="9:13" x14ac:dyDescent="0.25">
      <c r="I196"/>
      <c r="J196"/>
      <c r="K196"/>
      <c r="L196"/>
      <c r="M196"/>
    </row>
    <row r="197" spans="9:13" x14ac:dyDescent="0.25">
      <c r="I197"/>
      <c r="J197"/>
      <c r="K197"/>
      <c r="L197"/>
      <c r="M197"/>
    </row>
    <row r="198" spans="9:13" x14ac:dyDescent="0.25">
      <c r="I198"/>
      <c r="J198"/>
      <c r="K198"/>
      <c r="L198"/>
      <c r="M198"/>
    </row>
    <row r="199" spans="9:13" x14ac:dyDescent="0.25">
      <c r="I199"/>
      <c r="J199"/>
      <c r="K199"/>
      <c r="L199"/>
      <c r="M199"/>
    </row>
    <row r="200" spans="9:13" x14ac:dyDescent="0.25">
      <c r="I200"/>
      <c r="J200"/>
      <c r="K200"/>
      <c r="L200"/>
      <c r="M200"/>
    </row>
    <row r="201" spans="9:13" x14ac:dyDescent="0.25">
      <c r="I201"/>
      <c r="J201"/>
      <c r="K201"/>
      <c r="L201"/>
      <c r="M201"/>
    </row>
    <row r="202" spans="9:13" x14ac:dyDescent="0.25">
      <c r="I202"/>
      <c r="J202"/>
      <c r="K202"/>
      <c r="L202"/>
      <c r="M202"/>
    </row>
    <row r="203" spans="9:13" x14ac:dyDescent="0.25">
      <c r="I203"/>
      <c r="J203"/>
      <c r="K203"/>
      <c r="L203"/>
      <c r="M203"/>
    </row>
    <row r="204" spans="9:13" x14ac:dyDescent="0.25">
      <c r="I204"/>
      <c r="J204"/>
      <c r="K204"/>
      <c r="L204"/>
      <c r="M204"/>
    </row>
    <row r="205" spans="9:13" x14ac:dyDescent="0.25">
      <c r="I205"/>
      <c r="J205"/>
      <c r="K205"/>
      <c r="L205"/>
      <c r="M205"/>
    </row>
    <row r="206" spans="9:13" x14ac:dyDescent="0.25">
      <c r="I206"/>
      <c r="J206"/>
      <c r="K206"/>
      <c r="L206"/>
      <c r="M206"/>
    </row>
    <row r="207" spans="9:13" x14ac:dyDescent="0.25">
      <c r="I207"/>
      <c r="J207"/>
      <c r="K207"/>
      <c r="L207"/>
      <c r="M207"/>
    </row>
    <row r="208" spans="9:13" x14ac:dyDescent="0.25">
      <c r="I208"/>
      <c r="J208"/>
      <c r="K208"/>
      <c r="L208"/>
      <c r="M208"/>
    </row>
    <row r="209" spans="9:13" x14ac:dyDescent="0.25">
      <c r="I209"/>
      <c r="J209"/>
      <c r="K209"/>
      <c r="L209"/>
      <c r="M209"/>
    </row>
    <row r="210" spans="9:13" x14ac:dyDescent="0.25">
      <c r="I210"/>
      <c r="J210"/>
      <c r="K210"/>
      <c r="L210"/>
      <c r="M210"/>
    </row>
    <row r="211" spans="9:13" x14ac:dyDescent="0.25">
      <c r="I211"/>
      <c r="J211"/>
      <c r="K211"/>
      <c r="L211"/>
      <c r="M211"/>
    </row>
    <row r="212" spans="9:13" x14ac:dyDescent="0.25">
      <c r="I212"/>
      <c r="J212"/>
      <c r="K212"/>
      <c r="L212"/>
      <c r="M212"/>
    </row>
    <row r="213" spans="9:13" x14ac:dyDescent="0.25">
      <c r="I213"/>
      <c r="J213"/>
      <c r="K213"/>
      <c r="L213"/>
      <c r="M213"/>
    </row>
    <row r="214" spans="9:13" x14ac:dyDescent="0.25">
      <c r="I214"/>
      <c r="J214"/>
      <c r="K214"/>
      <c r="L214"/>
      <c r="M214"/>
    </row>
    <row r="215" spans="9:13" x14ac:dyDescent="0.25">
      <c r="I215"/>
      <c r="J215"/>
      <c r="K215"/>
      <c r="L215"/>
      <c r="M215"/>
    </row>
    <row r="216" spans="9:13" x14ac:dyDescent="0.25">
      <c r="I216"/>
      <c r="J216"/>
      <c r="K216"/>
      <c r="L216"/>
      <c r="M216"/>
    </row>
    <row r="217" spans="9:13" x14ac:dyDescent="0.25">
      <c r="I217"/>
      <c r="J217"/>
      <c r="K217"/>
      <c r="L217"/>
      <c r="M217"/>
    </row>
    <row r="218" spans="9:13" x14ac:dyDescent="0.25">
      <c r="I218"/>
      <c r="J218"/>
      <c r="K218"/>
      <c r="L218"/>
      <c r="M218"/>
    </row>
    <row r="219" spans="9:13" x14ac:dyDescent="0.25">
      <c r="I219"/>
      <c r="J219"/>
      <c r="K219"/>
      <c r="L219"/>
      <c r="M219"/>
    </row>
    <row r="220" spans="9:13" x14ac:dyDescent="0.25">
      <c r="I220"/>
      <c r="J220"/>
      <c r="K220"/>
      <c r="L220"/>
      <c r="M220"/>
    </row>
    <row r="221" spans="9:13" x14ac:dyDescent="0.25">
      <c r="I221"/>
      <c r="J221"/>
      <c r="K221"/>
      <c r="L221"/>
      <c r="M221"/>
    </row>
    <row r="222" spans="9:13" x14ac:dyDescent="0.25">
      <c r="I222"/>
      <c r="J222"/>
      <c r="K222"/>
      <c r="L222"/>
      <c r="M222"/>
    </row>
    <row r="223" spans="9:13" x14ac:dyDescent="0.25">
      <c r="I223"/>
      <c r="J223"/>
      <c r="K223"/>
      <c r="L223"/>
      <c r="M223"/>
    </row>
    <row r="224" spans="9:13" x14ac:dyDescent="0.25">
      <c r="I224"/>
      <c r="J224"/>
      <c r="K224"/>
      <c r="L224"/>
      <c r="M224"/>
    </row>
    <row r="225" spans="9:13" x14ac:dyDescent="0.25">
      <c r="I225"/>
      <c r="J225"/>
      <c r="K225"/>
      <c r="L225"/>
      <c r="M225"/>
    </row>
    <row r="226" spans="9:13" x14ac:dyDescent="0.25">
      <c r="I226"/>
      <c r="J226"/>
      <c r="K226"/>
      <c r="L226"/>
      <c r="M226"/>
    </row>
    <row r="227" spans="9:13" x14ac:dyDescent="0.25">
      <c r="I227"/>
      <c r="J227"/>
      <c r="K227"/>
      <c r="L227"/>
      <c r="M227"/>
    </row>
    <row r="228" spans="9:13" x14ac:dyDescent="0.25">
      <c r="I228"/>
      <c r="J228"/>
      <c r="K228"/>
      <c r="L228"/>
      <c r="M228"/>
    </row>
    <row r="229" spans="9:13" x14ac:dyDescent="0.25">
      <c r="I229"/>
      <c r="J229"/>
      <c r="K229"/>
      <c r="L229"/>
      <c r="M229"/>
    </row>
    <row r="230" spans="9:13" x14ac:dyDescent="0.25">
      <c r="I230"/>
      <c r="J230"/>
      <c r="K230"/>
      <c r="L230"/>
      <c r="M230"/>
    </row>
    <row r="231" spans="9:13" x14ac:dyDescent="0.25">
      <c r="I231"/>
      <c r="J231"/>
      <c r="K231"/>
      <c r="L231"/>
      <c r="M231"/>
    </row>
    <row r="232" spans="9:13" x14ac:dyDescent="0.25">
      <c r="I232"/>
      <c r="J232"/>
      <c r="K232"/>
      <c r="L232"/>
      <c r="M232"/>
    </row>
    <row r="233" spans="9:13" x14ac:dyDescent="0.25">
      <c r="I233"/>
      <c r="J233"/>
      <c r="K233"/>
      <c r="L233"/>
      <c r="M233"/>
    </row>
    <row r="234" spans="9:13" x14ac:dyDescent="0.25">
      <c r="I234"/>
      <c r="J234"/>
      <c r="K234"/>
      <c r="L234"/>
      <c r="M234"/>
    </row>
    <row r="235" spans="9:13" x14ac:dyDescent="0.25">
      <c r="I235"/>
      <c r="J235"/>
      <c r="K235"/>
      <c r="L235"/>
      <c r="M235"/>
    </row>
    <row r="236" spans="9:13" x14ac:dyDescent="0.25">
      <c r="I236"/>
      <c r="J236"/>
      <c r="K236"/>
      <c r="L236"/>
      <c r="M236"/>
    </row>
    <row r="237" spans="9:13" x14ac:dyDescent="0.25">
      <c r="I237"/>
      <c r="J237"/>
      <c r="K237"/>
      <c r="L237"/>
      <c r="M237"/>
    </row>
    <row r="238" spans="9:13" x14ac:dyDescent="0.25">
      <c r="I238"/>
      <c r="J238"/>
      <c r="K238"/>
      <c r="L238"/>
      <c r="M238"/>
    </row>
    <row r="239" spans="9:13" x14ac:dyDescent="0.25">
      <c r="I239"/>
      <c r="J239"/>
      <c r="K239"/>
      <c r="L239"/>
      <c r="M239"/>
    </row>
    <row r="240" spans="9:13" x14ac:dyDescent="0.25">
      <c r="I240"/>
      <c r="J240"/>
      <c r="K240"/>
      <c r="L240"/>
      <c r="M240"/>
    </row>
    <row r="241" spans="9:13" x14ac:dyDescent="0.25">
      <c r="I241"/>
      <c r="J241"/>
      <c r="K241"/>
      <c r="L241"/>
      <c r="M241"/>
    </row>
    <row r="242" spans="9:13" x14ac:dyDescent="0.25">
      <c r="I242"/>
      <c r="J242"/>
      <c r="K242"/>
      <c r="L242"/>
      <c r="M242"/>
    </row>
    <row r="243" spans="9:13" x14ac:dyDescent="0.25">
      <c r="I243"/>
      <c r="J243"/>
      <c r="K243"/>
      <c r="L243"/>
      <c r="M243"/>
    </row>
    <row r="244" spans="9:13" x14ac:dyDescent="0.25">
      <c r="I244"/>
      <c r="J244"/>
      <c r="K244"/>
      <c r="L244"/>
      <c r="M244"/>
    </row>
    <row r="245" spans="9:13" x14ac:dyDescent="0.25">
      <c r="I245"/>
      <c r="J245"/>
      <c r="K245"/>
      <c r="L245"/>
      <c r="M245"/>
    </row>
    <row r="246" spans="9:13" x14ac:dyDescent="0.25">
      <c r="I246"/>
      <c r="J246"/>
      <c r="K246"/>
      <c r="L246"/>
      <c r="M246"/>
    </row>
    <row r="247" spans="9:13" x14ac:dyDescent="0.25">
      <c r="I247"/>
      <c r="J247"/>
      <c r="K247"/>
      <c r="L247"/>
      <c r="M247"/>
    </row>
    <row r="248" spans="9:13" x14ac:dyDescent="0.25">
      <c r="I248"/>
      <c r="J248"/>
      <c r="K248"/>
      <c r="L248"/>
      <c r="M248"/>
    </row>
    <row r="249" spans="9:13" x14ac:dyDescent="0.25">
      <c r="I249"/>
      <c r="J249"/>
      <c r="K249"/>
      <c r="L249"/>
      <c r="M249"/>
    </row>
    <row r="250" spans="9:13" x14ac:dyDescent="0.25">
      <c r="I250"/>
      <c r="J250"/>
      <c r="K250"/>
      <c r="L250"/>
      <c r="M250"/>
    </row>
    <row r="251" spans="9:13" x14ac:dyDescent="0.25">
      <c r="I251"/>
      <c r="J251"/>
      <c r="K251"/>
      <c r="L251"/>
      <c r="M251"/>
    </row>
    <row r="252" spans="9:13" x14ac:dyDescent="0.25">
      <c r="I252"/>
      <c r="J252"/>
      <c r="K252"/>
      <c r="L252"/>
      <c r="M252"/>
    </row>
    <row r="253" spans="9:13" x14ac:dyDescent="0.25">
      <c r="I253"/>
      <c r="J253"/>
      <c r="K253"/>
      <c r="L253"/>
      <c r="M253"/>
    </row>
    <row r="254" spans="9:13" x14ac:dyDescent="0.25">
      <c r="I254"/>
      <c r="J254"/>
      <c r="K254"/>
      <c r="L254"/>
      <c r="M254"/>
    </row>
    <row r="255" spans="9:13" x14ac:dyDescent="0.25">
      <c r="I255"/>
      <c r="J255"/>
      <c r="K255"/>
      <c r="L255"/>
      <c r="M255"/>
    </row>
    <row r="256" spans="9:13" x14ac:dyDescent="0.25">
      <c r="I256"/>
      <c r="J256"/>
      <c r="K256"/>
      <c r="L256"/>
      <c r="M256"/>
    </row>
    <row r="257" spans="9:13" x14ac:dyDescent="0.25">
      <c r="I257"/>
      <c r="J257"/>
      <c r="K257"/>
      <c r="L257"/>
      <c r="M257"/>
    </row>
    <row r="258" spans="9:13" x14ac:dyDescent="0.25">
      <c r="I258"/>
      <c r="J258"/>
      <c r="K258"/>
      <c r="L258"/>
      <c r="M258"/>
    </row>
    <row r="259" spans="9:13" x14ac:dyDescent="0.25">
      <c r="I259"/>
      <c r="J259"/>
      <c r="K259"/>
      <c r="L259"/>
      <c r="M259"/>
    </row>
    <row r="260" spans="9:13" x14ac:dyDescent="0.25">
      <c r="I260"/>
      <c r="J260"/>
      <c r="K260"/>
      <c r="L260"/>
      <c r="M260"/>
    </row>
    <row r="261" spans="9:13" x14ac:dyDescent="0.25">
      <c r="I261"/>
      <c r="J261"/>
      <c r="K261"/>
      <c r="L261"/>
      <c r="M261"/>
    </row>
    <row r="262" spans="9:13" x14ac:dyDescent="0.25">
      <c r="I262"/>
      <c r="J262"/>
      <c r="K262"/>
      <c r="L262"/>
      <c r="M262"/>
    </row>
    <row r="263" spans="9:13" x14ac:dyDescent="0.25">
      <c r="I263"/>
      <c r="J263"/>
      <c r="K263"/>
      <c r="L263"/>
      <c r="M263"/>
    </row>
    <row r="264" spans="9:13" x14ac:dyDescent="0.25">
      <c r="I264"/>
      <c r="J264"/>
      <c r="K264"/>
      <c r="L264"/>
      <c r="M264"/>
    </row>
    <row r="265" spans="9:13" x14ac:dyDescent="0.25">
      <c r="I265"/>
      <c r="J265"/>
      <c r="K265"/>
      <c r="L265"/>
      <c r="M265"/>
    </row>
    <row r="266" spans="9:13" x14ac:dyDescent="0.25">
      <c r="I266"/>
      <c r="J266"/>
      <c r="K266"/>
      <c r="L266"/>
      <c r="M266"/>
    </row>
    <row r="267" spans="9:13" x14ac:dyDescent="0.25">
      <c r="I267"/>
      <c r="J267"/>
      <c r="K267"/>
      <c r="L267"/>
      <c r="M267"/>
    </row>
    <row r="268" spans="9:13" x14ac:dyDescent="0.25">
      <c r="I268"/>
      <c r="J268"/>
      <c r="K268"/>
      <c r="L268"/>
      <c r="M268"/>
    </row>
    <row r="269" spans="9:13" x14ac:dyDescent="0.25">
      <c r="I269"/>
      <c r="J269"/>
      <c r="K269"/>
      <c r="L269"/>
      <c r="M269"/>
    </row>
    <row r="270" spans="9:13" x14ac:dyDescent="0.25">
      <c r="I270"/>
      <c r="J270"/>
      <c r="K270"/>
      <c r="L270"/>
      <c r="M270"/>
    </row>
    <row r="271" spans="9:13" x14ac:dyDescent="0.25">
      <c r="I271"/>
      <c r="J271"/>
      <c r="K271"/>
      <c r="L271"/>
      <c r="M271"/>
    </row>
    <row r="272" spans="9:13" x14ac:dyDescent="0.25">
      <c r="I272"/>
      <c r="J272"/>
      <c r="K272"/>
      <c r="L272"/>
      <c r="M272"/>
    </row>
    <row r="273" spans="9:13" x14ac:dyDescent="0.25">
      <c r="I273"/>
      <c r="J273"/>
      <c r="K273"/>
      <c r="L273"/>
      <c r="M273"/>
    </row>
    <row r="274" spans="9:13" x14ac:dyDescent="0.25">
      <c r="I274"/>
      <c r="J274"/>
      <c r="K274"/>
      <c r="L274"/>
      <c r="M274"/>
    </row>
    <row r="275" spans="9:13" x14ac:dyDescent="0.25">
      <c r="I275"/>
      <c r="J275"/>
      <c r="K275"/>
      <c r="L275"/>
      <c r="M275"/>
    </row>
    <row r="276" spans="9:13" x14ac:dyDescent="0.25">
      <c r="I276"/>
      <c r="J276"/>
      <c r="K276"/>
      <c r="L276"/>
      <c r="M276"/>
    </row>
    <row r="277" spans="9:13" x14ac:dyDescent="0.25">
      <c r="I277"/>
      <c r="J277"/>
      <c r="K277"/>
      <c r="L277"/>
      <c r="M277"/>
    </row>
    <row r="278" spans="9:13" x14ac:dyDescent="0.25">
      <c r="I278"/>
      <c r="J278"/>
      <c r="K278"/>
      <c r="L278"/>
      <c r="M278"/>
    </row>
    <row r="279" spans="9:13" x14ac:dyDescent="0.25">
      <c r="I279"/>
      <c r="J279"/>
      <c r="K279"/>
      <c r="L279"/>
      <c r="M279"/>
    </row>
    <row r="280" spans="9:13" x14ac:dyDescent="0.25">
      <c r="I280"/>
      <c r="J280"/>
      <c r="K280"/>
      <c r="L280"/>
      <c r="M280"/>
    </row>
    <row r="281" spans="9:13" x14ac:dyDescent="0.25">
      <c r="I281"/>
      <c r="J281"/>
      <c r="K281"/>
      <c r="L281"/>
      <c r="M281"/>
    </row>
    <row r="282" spans="9:13" x14ac:dyDescent="0.25">
      <c r="I282"/>
      <c r="J282"/>
      <c r="K282"/>
      <c r="L282"/>
      <c r="M282"/>
    </row>
    <row r="283" spans="9:13" x14ac:dyDescent="0.25">
      <c r="I283"/>
      <c r="J283"/>
      <c r="K283"/>
      <c r="L283"/>
      <c r="M283"/>
    </row>
    <row r="284" spans="9:13" x14ac:dyDescent="0.25">
      <c r="I284"/>
      <c r="J284"/>
      <c r="K284"/>
      <c r="L284"/>
      <c r="M284"/>
    </row>
    <row r="285" spans="9:13" x14ac:dyDescent="0.25">
      <c r="I285"/>
      <c r="J285"/>
      <c r="K285"/>
      <c r="L285"/>
      <c r="M285"/>
    </row>
    <row r="286" spans="9:13" x14ac:dyDescent="0.25">
      <c r="I286"/>
      <c r="J286"/>
      <c r="K286"/>
      <c r="L286"/>
      <c r="M286"/>
    </row>
    <row r="287" spans="9:13" x14ac:dyDescent="0.25">
      <c r="I287"/>
      <c r="J287"/>
      <c r="K287"/>
      <c r="L287"/>
      <c r="M287"/>
    </row>
    <row r="288" spans="9:13" x14ac:dyDescent="0.25">
      <c r="I288"/>
      <c r="J288"/>
      <c r="K288"/>
      <c r="L288"/>
      <c r="M288"/>
    </row>
    <row r="289" spans="9:13" x14ac:dyDescent="0.25">
      <c r="I289"/>
      <c r="J289"/>
      <c r="K289"/>
      <c r="L289"/>
      <c r="M289"/>
    </row>
    <row r="290" spans="9:13" x14ac:dyDescent="0.25">
      <c r="I290"/>
      <c r="J290"/>
      <c r="K290"/>
      <c r="L290"/>
      <c r="M290"/>
    </row>
    <row r="291" spans="9:13" x14ac:dyDescent="0.25">
      <c r="I291"/>
      <c r="J291"/>
      <c r="K291"/>
      <c r="L291"/>
      <c r="M291"/>
    </row>
    <row r="292" spans="9:13" x14ac:dyDescent="0.25">
      <c r="I292"/>
      <c r="J292"/>
      <c r="K292"/>
      <c r="L292"/>
      <c r="M292"/>
    </row>
    <row r="293" spans="9:13" x14ac:dyDescent="0.25">
      <c r="I293"/>
      <c r="J293"/>
      <c r="K293"/>
      <c r="L293"/>
      <c r="M293"/>
    </row>
    <row r="294" spans="9:13" x14ac:dyDescent="0.25">
      <c r="I294"/>
      <c r="J294"/>
      <c r="K294"/>
      <c r="L294"/>
      <c r="M294"/>
    </row>
    <row r="295" spans="9:13" x14ac:dyDescent="0.25">
      <c r="I295"/>
      <c r="J295"/>
      <c r="K295"/>
      <c r="L295"/>
      <c r="M295"/>
    </row>
    <row r="296" spans="9:13" x14ac:dyDescent="0.25">
      <c r="I296"/>
      <c r="J296"/>
      <c r="K296"/>
      <c r="L296"/>
      <c r="M296"/>
    </row>
    <row r="297" spans="9:13" x14ac:dyDescent="0.25">
      <c r="I297"/>
      <c r="J297"/>
      <c r="K297"/>
      <c r="L297"/>
      <c r="M297"/>
    </row>
    <row r="298" spans="9:13" x14ac:dyDescent="0.25">
      <c r="I298"/>
      <c r="J298"/>
      <c r="K298"/>
      <c r="L298"/>
      <c r="M298"/>
    </row>
    <row r="299" spans="9:13" x14ac:dyDescent="0.25">
      <c r="I299"/>
      <c r="J299"/>
      <c r="K299"/>
      <c r="L299"/>
      <c r="M299"/>
    </row>
    <row r="300" spans="9:13" x14ac:dyDescent="0.25">
      <c r="I300"/>
      <c r="J300"/>
      <c r="K300"/>
      <c r="L300"/>
      <c r="M300"/>
    </row>
    <row r="301" spans="9:13" x14ac:dyDescent="0.25">
      <c r="I301"/>
      <c r="J301"/>
      <c r="K301"/>
      <c r="L301"/>
      <c r="M301"/>
    </row>
    <row r="302" spans="9:13" x14ac:dyDescent="0.25">
      <c r="I302"/>
      <c r="J302"/>
      <c r="K302"/>
      <c r="L302"/>
      <c r="M302"/>
    </row>
    <row r="303" spans="9:13" x14ac:dyDescent="0.25">
      <c r="I303"/>
      <c r="J303"/>
      <c r="K303"/>
      <c r="L303"/>
      <c r="M303"/>
    </row>
    <row r="304" spans="9:13" x14ac:dyDescent="0.25">
      <c r="I304"/>
      <c r="J304"/>
      <c r="K304"/>
      <c r="L304"/>
      <c r="M304"/>
    </row>
    <row r="305" spans="9:13" x14ac:dyDescent="0.25">
      <c r="I305"/>
      <c r="J305"/>
      <c r="K305"/>
      <c r="L305"/>
      <c r="M305"/>
    </row>
    <row r="306" spans="9:13" x14ac:dyDescent="0.25">
      <c r="I306"/>
      <c r="J306"/>
      <c r="K306"/>
      <c r="L306"/>
      <c r="M306"/>
    </row>
    <row r="307" spans="9:13" x14ac:dyDescent="0.25">
      <c r="I307"/>
      <c r="J307"/>
      <c r="K307"/>
      <c r="L307"/>
      <c r="M307"/>
    </row>
    <row r="308" spans="9:13" x14ac:dyDescent="0.25">
      <c r="I308"/>
      <c r="J308"/>
      <c r="K308"/>
      <c r="L308"/>
      <c r="M308"/>
    </row>
    <row r="309" spans="9:13" x14ac:dyDescent="0.25">
      <c r="I309"/>
      <c r="J309"/>
      <c r="K309"/>
      <c r="L309"/>
      <c r="M309"/>
    </row>
    <row r="310" spans="9:13" x14ac:dyDescent="0.25">
      <c r="I310"/>
      <c r="J310"/>
      <c r="K310"/>
      <c r="L310"/>
      <c r="M310"/>
    </row>
    <row r="311" spans="9:13" x14ac:dyDescent="0.25">
      <c r="I311"/>
      <c r="J311"/>
      <c r="K311"/>
      <c r="L311"/>
      <c r="M311"/>
    </row>
    <row r="312" spans="9:13" x14ac:dyDescent="0.25">
      <c r="I312"/>
      <c r="J312"/>
      <c r="K312"/>
      <c r="L312"/>
      <c r="M312"/>
    </row>
    <row r="313" spans="9:13" x14ac:dyDescent="0.25">
      <c r="I313"/>
      <c r="J313"/>
      <c r="K313"/>
      <c r="L313"/>
      <c r="M313"/>
    </row>
    <row r="314" spans="9:13" x14ac:dyDescent="0.25">
      <c r="I314"/>
      <c r="J314"/>
      <c r="K314"/>
      <c r="L314"/>
      <c r="M314"/>
    </row>
    <row r="315" spans="9:13" x14ac:dyDescent="0.25">
      <c r="I315"/>
      <c r="J315"/>
      <c r="K315"/>
      <c r="L315"/>
      <c r="M315"/>
    </row>
    <row r="316" spans="9:13" x14ac:dyDescent="0.25">
      <c r="I316"/>
      <c r="J316"/>
      <c r="K316"/>
      <c r="L316"/>
      <c r="M316"/>
    </row>
    <row r="317" spans="9:13" x14ac:dyDescent="0.25">
      <c r="I317"/>
      <c r="J317"/>
      <c r="K317"/>
      <c r="L317"/>
      <c r="M317"/>
    </row>
    <row r="318" spans="9:13" x14ac:dyDescent="0.25">
      <c r="I318"/>
      <c r="J318"/>
      <c r="K318"/>
      <c r="L318"/>
      <c r="M318"/>
    </row>
    <row r="319" spans="9:13" x14ac:dyDescent="0.25">
      <c r="I319"/>
      <c r="J319"/>
      <c r="K319"/>
      <c r="L319"/>
      <c r="M319"/>
    </row>
    <row r="320" spans="9:13" x14ac:dyDescent="0.25">
      <c r="I320"/>
      <c r="J320"/>
      <c r="K320"/>
      <c r="L320"/>
      <c r="M320"/>
    </row>
    <row r="321" spans="9:13" x14ac:dyDescent="0.25">
      <c r="I321"/>
      <c r="J321"/>
      <c r="K321"/>
      <c r="L321"/>
      <c r="M321"/>
    </row>
    <row r="322" spans="9:13" x14ac:dyDescent="0.25">
      <c r="I322"/>
      <c r="J322"/>
      <c r="K322"/>
      <c r="L322"/>
      <c r="M322"/>
    </row>
    <row r="323" spans="9:13" x14ac:dyDescent="0.25">
      <c r="I323"/>
      <c r="J323"/>
      <c r="K323"/>
      <c r="L323"/>
      <c r="M323"/>
    </row>
    <row r="324" spans="9:13" x14ac:dyDescent="0.25">
      <c r="I324"/>
      <c r="J324"/>
      <c r="K324"/>
      <c r="L324"/>
      <c r="M324"/>
    </row>
    <row r="325" spans="9:13" x14ac:dyDescent="0.25">
      <c r="I325"/>
      <c r="J325"/>
      <c r="K325"/>
      <c r="L325"/>
      <c r="M325"/>
    </row>
    <row r="326" spans="9:13" x14ac:dyDescent="0.25">
      <c r="I326"/>
      <c r="J326"/>
      <c r="K326"/>
      <c r="L326"/>
      <c r="M326"/>
    </row>
    <row r="327" spans="9:13" x14ac:dyDescent="0.25">
      <c r="I327"/>
      <c r="J327"/>
      <c r="K327"/>
      <c r="L327"/>
      <c r="M327"/>
    </row>
    <row r="328" spans="9:13" x14ac:dyDescent="0.25">
      <c r="I328"/>
      <c r="J328"/>
      <c r="K328"/>
      <c r="L328"/>
      <c r="M328"/>
    </row>
    <row r="329" spans="9:13" x14ac:dyDescent="0.25">
      <c r="I329"/>
      <c r="J329"/>
      <c r="K329"/>
      <c r="L329"/>
      <c r="M329"/>
    </row>
    <row r="330" spans="9:13" x14ac:dyDescent="0.25">
      <c r="I330"/>
      <c r="J330"/>
      <c r="K330"/>
      <c r="L330"/>
      <c r="M330"/>
    </row>
    <row r="331" spans="9:13" x14ac:dyDescent="0.25">
      <c r="I331"/>
      <c r="J331"/>
      <c r="K331"/>
      <c r="L331"/>
      <c r="M331"/>
    </row>
    <row r="332" spans="9:13" x14ac:dyDescent="0.25">
      <c r="I332"/>
      <c r="J332"/>
      <c r="K332"/>
      <c r="L332"/>
      <c r="M332"/>
    </row>
    <row r="333" spans="9:13" x14ac:dyDescent="0.25">
      <c r="I333"/>
      <c r="J333"/>
      <c r="K333"/>
      <c r="L333"/>
      <c r="M333"/>
    </row>
    <row r="334" spans="9:13" x14ac:dyDescent="0.25">
      <c r="I334"/>
      <c r="J334"/>
      <c r="K334"/>
      <c r="L334"/>
      <c r="M334"/>
    </row>
    <row r="335" spans="9:13" x14ac:dyDescent="0.25">
      <c r="I335"/>
      <c r="J335"/>
      <c r="K335"/>
      <c r="L335"/>
      <c r="M335"/>
    </row>
    <row r="336" spans="9:13" x14ac:dyDescent="0.25">
      <c r="I336"/>
      <c r="J336"/>
      <c r="K336"/>
      <c r="L336"/>
      <c r="M336"/>
    </row>
    <row r="337" spans="9:13" x14ac:dyDescent="0.25">
      <c r="I337"/>
      <c r="J337"/>
      <c r="K337"/>
      <c r="L337"/>
      <c r="M337"/>
    </row>
    <row r="338" spans="9:13" x14ac:dyDescent="0.25">
      <c r="I338"/>
      <c r="J338"/>
      <c r="K338"/>
      <c r="L338"/>
      <c r="M338"/>
    </row>
    <row r="339" spans="9:13" x14ac:dyDescent="0.25">
      <c r="I339"/>
      <c r="J339"/>
      <c r="K339"/>
      <c r="L339"/>
      <c r="M339"/>
    </row>
    <row r="340" spans="9:13" x14ac:dyDescent="0.25">
      <c r="I340"/>
      <c r="J340"/>
      <c r="K340"/>
      <c r="L340"/>
      <c r="M340"/>
    </row>
    <row r="341" spans="9:13" x14ac:dyDescent="0.25">
      <c r="I341"/>
      <c r="J341"/>
      <c r="K341"/>
      <c r="L341"/>
      <c r="M341"/>
    </row>
    <row r="342" spans="9:13" x14ac:dyDescent="0.25">
      <c r="I342"/>
      <c r="J342"/>
      <c r="K342"/>
      <c r="L342"/>
      <c r="M342"/>
    </row>
    <row r="343" spans="9:13" x14ac:dyDescent="0.25">
      <c r="I343"/>
      <c r="J343"/>
      <c r="K343"/>
      <c r="L343"/>
      <c r="M343"/>
    </row>
    <row r="344" spans="9:13" x14ac:dyDescent="0.25">
      <c r="I344"/>
      <c r="J344"/>
      <c r="K344"/>
      <c r="L344"/>
      <c r="M344"/>
    </row>
    <row r="345" spans="9:13" x14ac:dyDescent="0.25">
      <c r="I345"/>
      <c r="J345"/>
      <c r="K345"/>
      <c r="L345"/>
      <c r="M345"/>
    </row>
    <row r="346" spans="9:13" x14ac:dyDescent="0.25">
      <c r="I346"/>
      <c r="J346"/>
      <c r="K346"/>
      <c r="L346"/>
      <c r="M346"/>
    </row>
    <row r="347" spans="9:13" x14ac:dyDescent="0.25">
      <c r="I347"/>
      <c r="J347"/>
      <c r="K347"/>
      <c r="L347"/>
      <c r="M347"/>
    </row>
    <row r="348" spans="9:13" x14ac:dyDescent="0.25">
      <c r="I348"/>
      <c r="J348"/>
      <c r="K348"/>
      <c r="L348"/>
      <c r="M348"/>
    </row>
    <row r="349" spans="9:13" x14ac:dyDescent="0.25">
      <c r="I349"/>
      <c r="J349"/>
      <c r="K349"/>
      <c r="L349"/>
      <c r="M349"/>
    </row>
    <row r="350" spans="9:13" x14ac:dyDescent="0.25">
      <c r="I350"/>
      <c r="J350"/>
      <c r="K350"/>
      <c r="L350"/>
      <c r="M350"/>
    </row>
    <row r="351" spans="9:13" x14ac:dyDescent="0.25">
      <c r="I351"/>
      <c r="J351"/>
      <c r="K351"/>
      <c r="L351"/>
      <c r="M351"/>
    </row>
    <row r="352" spans="9:13" x14ac:dyDescent="0.25">
      <c r="I352"/>
      <c r="J352"/>
      <c r="K352"/>
      <c r="L352"/>
      <c r="M352"/>
    </row>
    <row r="353" spans="9:13" x14ac:dyDescent="0.25">
      <c r="I353"/>
      <c r="J353"/>
      <c r="K353"/>
      <c r="L353"/>
      <c r="M353"/>
    </row>
    <row r="354" spans="9:13" x14ac:dyDescent="0.25">
      <c r="I354"/>
      <c r="J354"/>
      <c r="K354"/>
      <c r="L354"/>
      <c r="M354"/>
    </row>
    <row r="355" spans="9:13" x14ac:dyDescent="0.25">
      <c r="I355"/>
      <c r="J355"/>
      <c r="K355"/>
      <c r="L355"/>
      <c r="M355"/>
    </row>
    <row r="356" spans="9:13" x14ac:dyDescent="0.25">
      <c r="I356"/>
      <c r="J356"/>
      <c r="K356"/>
      <c r="L356"/>
      <c r="M356"/>
    </row>
    <row r="357" spans="9:13" x14ac:dyDescent="0.25">
      <c r="I357"/>
      <c r="J357"/>
      <c r="K357"/>
      <c r="L357"/>
      <c r="M357"/>
    </row>
    <row r="358" spans="9:13" x14ac:dyDescent="0.25">
      <c r="I358"/>
      <c r="J358"/>
      <c r="K358"/>
      <c r="L358"/>
      <c r="M358"/>
    </row>
    <row r="359" spans="9:13" x14ac:dyDescent="0.25">
      <c r="I359"/>
      <c r="J359"/>
      <c r="K359"/>
      <c r="L359"/>
      <c r="M359"/>
    </row>
    <row r="360" spans="9:13" x14ac:dyDescent="0.25">
      <c r="I360"/>
      <c r="J360"/>
      <c r="K360"/>
      <c r="L360"/>
      <c r="M360"/>
    </row>
    <row r="361" spans="9:13" x14ac:dyDescent="0.25">
      <c r="I361"/>
      <c r="J361"/>
      <c r="K361"/>
      <c r="L361"/>
      <c r="M361"/>
    </row>
    <row r="362" spans="9:13" x14ac:dyDescent="0.25">
      <c r="I362"/>
      <c r="J362"/>
      <c r="K362"/>
      <c r="L362"/>
      <c r="M362"/>
    </row>
    <row r="363" spans="9:13" x14ac:dyDescent="0.25">
      <c r="I363"/>
      <c r="J363"/>
      <c r="K363"/>
      <c r="L363"/>
      <c r="M363"/>
    </row>
    <row r="364" spans="9:13" x14ac:dyDescent="0.25">
      <c r="I364"/>
      <c r="J364"/>
      <c r="K364"/>
      <c r="L364"/>
      <c r="M364"/>
    </row>
    <row r="365" spans="9:13" x14ac:dyDescent="0.25">
      <c r="I365"/>
      <c r="J365"/>
      <c r="K365"/>
      <c r="L365"/>
      <c r="M365"/>
    </row>
    <row r="366" spans="9:13" x14ac:dyDescent="0.25">
      <c r="I366"/>
      <c r="J366"/>
      <c r="K366"/>
      <c r="L366"/>
      <c r="M366"/>
    </row>
    <row r="367" spans="9:13" x14ac:dyDescent="0.25">
      <c r="I367"/>
      <c r="J367"/>
      <c r="K367"/>
      <c r="L367"/>
      <c r="M367"/>
    </row>
    <row r="368" spans="9:13" x14ac:dyDescent="0.25">
      <c r="I368"/>
      <c r="J368"/>
      <c r="K368"/>
      <c r="L368"/>
      <c r="M368"/>
    </row>
    <row r="369" spans="9:13" x14ac:dyDescent="0.25">
      <c r="I369"/>
      <c r="J369"/>
      <c r="K369"/>
      <c r="L369"/>
      <c r="M369"/>
    </row>
    <row r="370" spans="9:13" x14ac:dyDescent="0.25">
      <c r="I370"/>
      <c r="J370"/>
      <c r="K370"/>
      <c r="L370"/>
      <c r="M370"/>
    </row>
    <row r="371" spans="9:13" x14ac:dyDescent="0.25">
      <c r="I371"/>
      <c r="J371"/>
      <c r="K371"/>
      <c r="L371"/>
      <c r="M371"/>
    </row>
    <row r="372" spans="9:13" x14ac:dyDescent="0.25">
      <c r="I372"/>
      <c r="J372"/>
      <c r="K372"/>
      <c r="L372"/>
      <c r="M372"/>
    </row>
    <row r="373" spans="9:13" x14ac:dyDescent="0.25">
      <c r="I373"/>
      <c r="J373"/>
      <c r="K373"/>
      <c r="L373"/>
      <c r="M373"/>
    </row>
    <row r="374" spans="9:13" x14ac:dyDescent="0.25">
      <c r="I374"/>
      <c r="J374"/>
      <c r="K374"/>
      <c r="L374"/>
      <c r="M374"/>
    </row>
    <row r="375" spans="9:13" x14ac:dyDescent="0.25">
      <c r="I375"/>
      <c r="J375"/>
      <c r="K375"/>
      <c r="L375"/>
      <c r="M375"/>
    </row>
    <row r="376" spans="9:13" x14ac:dyDescent="0.25">
      <c r="I376"/>
      <c r="J376"/>
      <c r="K376"/>
      <c r="L376"/>
      <c r="M376"/>
    </row>
    <row r="377" spans="9:13" x14ac:dyDescent="0.25">
      <c r="I377"/>
      <c r="J377"/>
      <c r="K377"/>
      <c r="L377"/>
      <c r="M377"/>
    </row>
    <row r="378" spans="9:13" x14ac:dyDescent="0.25">
      <c r="I378"/>
      <c r="J378"/>
      <c r="K378"/>
      <c r="L378"/>
      <c r="M378"/>
    </row>
    <row r="379" spans="9:13" x14ac:dyDescent="0.25">
      <c r="I379"/>
      <c r="J379"/>
      <c r="K379"/>
      <c r="L379"/>
      <c r="M379"/>
    </row>
    <row r="380" spans="9:13" x14ac:dyDescent="0.25">
      <c r="I380"/>
      <c r="J380"/>
      <c r="K380"/>
      <c r="L380"/>
      <c r="M380"/>
    </row>
    <row r="381" spans="9:13" x14ac:dyDescent="0.25">
      <c r="I381"/>
      <c r="J381"/>
      <c r="K381"/>
      <c r="L381"/>
      <c r="M381"/>
    </row>
    <row r="382" spans="9:13" x14ac:dyDescent="0.25">
      <c r="I382"/>
      <c r="J382"/>
      <c r="K382"/>
      <c r="L382"/>
      <c r="M382"/>
    </row>
    <row r="383" spans="9:13" x14ac:dyDescent="0.25">
      <c r="I383"/>
      <c r="J383"/>
      <c r="K383"/>
      <c r="L383"/>
      <c r="M383"/>
    </row>
    <row r="384" spans="9:13" x14ac:dyDescent="0.25">
      <c r="I384"/>
      <c r="J384"/>
      <c r="K384"/>
      <c r="L384"/>
      <c r="M384"/>
    </row>
    <row r="385" spans="9:13" x14ac:dyDescent="0.25">
      <c r="I385"/>
      <c r="J385"/>
      <c r="K385"/>
      <c r="L385"/>
      <c r="M385"/>
    </row>
    <row r="386" spans="9:13" x14ac:dyDescent="0.25">
      <c r="I386"/>
      <c r="J386"/>
      <c r="K386"/>
      <c r="L386"/>
      <c r="M386"/>
    </row>
    <row r="387" spans="9:13" x14ac:dyDescent="0.25">
      <c r="I387"/>
      <c r="J387"/>
      <c r="K387"/>
      <c r="L387"/>
      <c r="M387"/>
    </row>
    <row r="388" spans="9:13" x14ac:dyDescent="0.25">
      <c r="I388"/>
      <c r="J388"/>
      <c r="K388"/>
      <c r="L388"/>
      <c r="M388"/>
    </row>
    <row r="389" spans="9:13" x14ac:dyDescent="0.25">
      <c r="I389"/>
      <c r="J389"/>
      <c r="K389"/>
      <c r="L389"/>
      <c r="M389"/>
    </row>
    <row r="390" spans="9:13" x14ac:dyDescent="0.25">
      <c r="I390"/>
      <c r="J390"/>
      <c r="K390"/>
      <c r="L390"/>
      <c r="M390"/>
    </row>
    <row r="391" spans="9:13" x14ac:dyDescent="0.25">
      <c r="I391"/>
      <c r="J391"/>
      <c r="K391"/>
      <c r="L391"/>
      <c r="M391"/>
    </row>
    <row r="392" spans="9:13" x14ac:dyDescent="0.25">
      <c r="I392"/>
      <c r="J392"/>
      <c r="K392"/>
      <c r="L392"/>
      <c r="M392"/>
    </row>
    <row r="393" spans="9:13" x14ac:dyDescent="0.25">
      <c r="I393"/>
      <c r="J393"/>
      <c r="K393"/>
      <c r="L393"/>
      <c r="M393"/>
    </row>
    <row r="394" spans="9:13" x14ac:dyDescent="0.25">
      <c r="I394"/>
      <c r="J394"/>
      <c r="K394"/>
      <c r="L394"/>
      <c r="M394"/>
    </row>
    <row r="395" spans="9:13" x14ac:dyDescent="0.25">
      <c r="I395"/>
      <c r="J395"/>
      <c r="K395"/>
      <c r="L395"/>
      <c r="M395"/>
    </row>
    <row r="396" spans="9:13" x14ac:dyDescent="0.25">
      <c r="I396"/>
      <c r="J396"/>
      <c r="K396"/>
      <c r="L396"/>
      <c r="M396"/>
    </row>
    <row r="397" spans="9:13" x14ac:dyDescent="0.25">
      <c r="I397"/>
      <c r="J397"/>
      <c r="K397"/>
      <c r="L397"/>
      <c r="M397"/>
    </row>
    <row r="398" spans="9:13" x14ac:dyDescent="0.25">
      <c r="I398"/>
      <c r="J398"/>
      <c r="K398"/>
      <c r="L398"/>
      <c r="M398"/>
    </row>
    <row r="399" spans="9:13" x14ac:dyDescent="0.25">
      <c r="I399"/>
      <c r="J399"/>
      <c r="K399"/>
      <c r="L399"/>
      <c r="M399"/>
    </row>
    <row r="400" spans="9:13" x14ac:dyDescent="0.25">
      <c r="I400"/>
      <c r="J400"/>
      <c r="K400"/>
      <c r="L400"/>
      <c r="M400"/>
    </row>
    <row r="401" spans="9:13" x14ac:dyDescent="0.25">
      <c r="I401"/>
      <c r="J401"/>
      <c r="K401"/>
      <c r="L401"/>
      <c r="M401"/>
    </row>
    <row r="402" spans="9:13" x14ac:dyDescent="0.25">
      <c r="I402"/>
      <c r="J402"/>
      <c r="K402"/>
      <c r="L402"/>
      <c r="M402"/>
    </row>
    <row r="403" spans="9:13" x14ac:dyDescent="0.25">
      <c r="I403"/>
      <c r="J403"/>
      <c r="K403"/>
      <c r="L403"/>
      <c r="M403"/>
    </row>
    <row r="404" spans="9:13" x14ac:dyDescent="0.25">
      <c r="I404"/>
      <c r="J404"/>
      <c r="K404"/>
      <c r="L404"/>
      <c r="M404"/>
    </row>
    <row r="405" spans="9:13" x14ac:dyDescent="0.25">
      <c r="I405"/>
      <c r="J405"/>
      <c r="K405"/>
      <c r="L405"/>
      <c r="M405"/>
    </row>
    <row r="406" spans="9:13" x14ac:dyDescent="0.25">
      <c r="I406"/>
      <c r="J406"/>
      <c r="K406"/>
      <c r="L406"/>
      <c r="M406"/>
    </row>
    <row r="407" spans="9:13" x14ac:dyDescent="0.25">
      <c r="I407"/>
      <c r="J407"/>
      <c r="K407"/>
      <c r="L407"/>
      <c r="M407"/>
    </row>
    <row r="408" spans="9:13" x14ac:dyDescent="0.25">
      <c r="I408"/>
      <c r="J408"/>
      <c r="K408"/>
      <c r="L408"/>
      <c r="M408"/>
    </row>
    <row r="409" spans="9:13" x14ac:dyDescent="0.25">
      <c r="I409"/>
      <c r="J409"/>
      <c r="K409"/>
      <c r="L409"/>
      <c r="M409"/>
    </row>
    <row r="410" spans="9:13" x14ac:dyDescent="0.25">
      <c r="I410"/>
      <c r="J410"/>
      <c r="K410"/>
      <c r="L410"/>
      <c r="M410"/>
    </row>
    <row r="411" spans="9:13" x14ac:dyDescent="0.25">
      <c r="I411"/>
      <c r="J411"/>
      <c r="K411"/>
      <c r="L411"/>
      <c r="M411"/>
    </row>
    <row r="412" spans="9:13" x14ac:dyDescent="0.25">
      <c r="I412"/>
      <c r="J412"/>
      <c r="K412"/>
      <c r="L412"/>
      <c r="M412"/>
    </row>
    <row r="413" spans="9:13" x14ac:dyDescent="0.25">
      <c r="I413"/>
      <c r="J413"/>
      <c r="K413"/>
      <c r="L413"/>
      <c r="M413"/>
    </row>
    <row r="414" spans="9:13" x14ac:dyDescent="0.25">
      <c r="I414"/>
      <c r="J414"/>
      <c r="K414"/>
      <c r="L414"/>
      <c r="M414"/>
    </row>
    <row r="415" spans="9:13" x14ac:dyDescent="0.25">
      <c r="I415"/>
      <c r="J415"/>
      <c r="K415"/>
      <c r="L415"/>
      <c r="M415"/>
    </row>
    <row r="416" spans="9:13" x14ac:dyDescent="0.25">
      <c r="I416"/>
      <c r="J416"/>
      <c r="K416"/>
      <c r="L416"/>
      <c r="M416"/>
    </row>
    <row r="417" spans="9:13" x14ac:dyDescent="0.25">
      <c r="I417"/>
      <c r="J417"/>
      <c r="K417"/>
      <c r="L417"/>
      <c r="M417"/>
    </row>
    <row r="418" spans="9:13" x14ac:dyDescent="0.25">
      <c r="I418"/>
      <c r="J418"/>
      <c r="K418"/>
      <c r="L418"/>
      <c r="M418"/>
    </row>
    <row r="419" spans="9:13" x14ac:dyDescent="0.25">
      <c r="I419"/>
      <c r="J419"/>
      <c r="K419"/>
      <c r="L419"/>
      <c r="M419"/>
    </row>
    <row r="420" spans="9:13" x14ac:dyDescent="0.25">
      <c r="I420"/>
      <c r="J420"/>
      <c r="K420"/>
      <c r="L420"/>
      <c r="M420"/>
    </row>
    <row r="421" spans="9:13" x14ac:dyDescent="0.25">
      <c r="I421"/>
      <c r="J421"/>
      <c r="K421"/>
      <c r="L421"/>
      <c r="M421"/>
    </row>
    <row r="422" spans="9:13" x14ac:dyDescent="0.25">
      <c r="I422"/>
      <c r="J422"/>
      <c r="K422"/>
      <c r="L422"/>
      <c r="M422"/>
    </row>
    <row r="423" spans="9:13" x14ac:dyDescent="0.25">
      <c r="I423"/>
      <c r="J423"/>
      <c r="K423"/>
      <c r="L423"/>
      <c r="M423"/>
    </row>
    <row r="424" spans="9:13" x14ac:dyDescent="0.25">
      <c r="I424"/>
      <c r="J424"/>
      <c r="K424"/>
      <c r="L424"/>
      <c r="M424"/>
    </row>
    <row r="425" spans="9:13" x14ac:dyDescent="0.25">
      <c r="I425"/>
      <c r="J425"/>
      <c r="K425"/>
      <c r="L425"/>
      <c r="M425"/>
    </row>
    <row r="426" spans="9:13" x14ac:dyDescent="0.25">
      <c r="I426"/>
      <c r="J426"/>
      <c r="K426"/>
      <c r="L426"/>
      <c r="M426"/>
    </row>
    <row r="427" spans="9:13" x14ac:dyDescent="0.25">
      <c r="I427"/>
      <c r="J427"/>
      <c r="K427"/>
      <c r="L427"/>
      <c r="M427"/>
    </row>
    <row r="428" spans="9:13" x14ac:dyDescent="0.25">
      <c r="I428"/>
      <c r="J428"/>
      <c r="K428"/>
      <c r="L428"/>
      <c r="M428"/>
    </row>
    <row r="429" spans="9:13" x14ac:dyDescent="0.25">
      <c r="I429"/>
      <c r="J429"/>
      <c r="K429"/>
      <c r="L429"/>
      <c r="M429"/>
    </row>
    <row r="430" spans="9:13" x14ac:dyDescent="0.25">
      <c r="I430"/>
      <c r="J430"/>
      <c r="K430"/>
      <c r="L430"/>
      <c r="M430"/>
    </row>
    <row r="431" spans="9:13" x14ac:dyDescent="0.25">
      <c r="I431"/>
      <c r="J431"/>
      <c r="K431"/>
      <c r="L431"/>
      <c r="M431"/>
    </row>
    <row r="432" spans="9:13" x14ac:dyDescent="0.25">
      <c r="I432"/>
      <c r="J432"/>
      <c r="K432"/>
      <c r="L432"/>
      <c r="M432"/>
    </row>
    <row r="433" spans="9:13" x14ac:dyDescent="0.25">
      <c r="I433"/>
      <c r="J433"/>
      <c r="K433"/>
      <c r="L433"/>
      <c r="M433"/>
    </row>
    <row r="434" spans="9:13" x14ac:dyDescent="0.25">
      <c r="I434"/>
      <c r="J434"/>
      <c r="K434"/>
      <c r="L434"/>
      <c r="M434"/>
    </row>
    <row r="435" spans="9:13" x14ac:dyDescent="0.25">
      <c r="I435"/>
      <c r="J435"/>
      <c r="K435"/>
      <c r="L435"/>
      <c r="M435"/>
    </row>
    <row r="436" spans="9:13" x14ac:dyDescent="0.25">
      <c r="I436"/>
      <c r="J436"/>
      <c r="K436"/>
      <c r="L436"/>
      <c r="M436"/>
    </row>
    <row r="437" spans="9:13" x14ac:dyDescent="0.25">
      <c r="I437"/>
      <c r="J437"/>
      <c r="K437"/>
      <c r="L437"/>
      <c r="M437"/>
    </row>
    <row r="438" spans="9:13" x14ac:dyDescent="0.25">
      <c r="I438"/>
      <c r="J438"/>
      <c r="K438"/>
      <c r="L438"/>
      <c r="M438"/>
    </row>
    <row r="439" spans="9:13" x14ac:dyDescent="0.25">
      <c r="I439"/>
      <c r="J439"/>
      <c r="K439"/>
      <c r="L439"/>
      <c r="M439"/>
    </row>
    <row r="440" spans="9:13" x14ac:dyDescent="0.25">
      <c r="I440"/>
      <c r="J440"/>
      <c r="K440"/>
      <c r="L440"/>
      <c r="M440"/>
    </row>
    <row r="441" spans="9:13" x14ac:dyDescent="0.25">
      <c r="I441"/>
      <c r="J441"/>
      <c r="K441"/>
      <c r="L441"/>
      <c r="M441"/>
    </row>
    <row r="442" spans="9:13" x14ac:dyDescent="0.25">
      <c r="I442"/>
      <c r="J442"/>
      <c r="K442"/>
      <c r="L442"/>
      <c r="M442"/>
    </row>
    <row r="443" spans="9:13" x14ac:dyDescent="0.25">
      <c r="I443"/>
      <c r="J443"/>
      <c r="K443"/>
      <c r="L443"/>
      <c r="M443"/>
    </row>
    <row r="444" spans="9:13" x14ac:dyDescent="0.25">
      <c r="I444"/>
      <c r="J444"/>
      <c r="K444"/>
      <c r="L444"/>
      <c r="M444"/>
    </row>
    <row r="445" spans="9:13" x14ac:dyDescent="0.25">
      <c r="I445"/>
      <c r="J445"/>
      <c r="K445"/>
      <c r="L445"/>
      <c r="M445"/>
    </row>
    <row r="446" spans="9:13" x14ac:dyDescent="0.25">
      <c r="I446"/>
      <c r="J446"/>
      <c r="K446"/>
      <c r="L446"/>
      <c r="M446"/>
    </row>
    <row r="447" spans="9:13" x14ac:dyDescent="0.25">
      <c r="I447"/>
      <c r="J447"/>
      <c r="K447"/>
      <c r="L447"/>
      <c r="M447"/>
    </row>
    <row r="448" spans="9:13" x14ac:dyDescent="0.25">
      <c r="I448"/>
      <c r="J448"/>
      <c r="K448"/>
      <c r="L448"/>
      <c r="M448"/>
    </row>
    <row r="449" spans="9:13" x14ac:dyDescent="0.25">
      <c r="I449"/>
      <c r="J449"/>
      <c r="K449"/>
      <c r="L449"/>
      <c r="M449"/>
    </row>
    <row r="450" spans="9:13" x14ac:dyDescent="0.25">
      <c r="I450"/>
      <c r="J450"/>
      <c r="K450"/>
      <c r="L450"/>
      <c r="M450"/>
    </row>
    <row r="451" spans="9:13" x14ac:dyDescent="0.25">
      <c r="I451"/>
      <c r="J451"/>
      <c r="K451"/>
      <c r="L451"/>
      <c r="M451"/>
    </row>
    <row r="452" spans="9:13" x14ac:dyDescent="0.25">
      <c r="I452"/>
      <c r="J452"/>
      <c r="K452"/>
      <c r="L452"/>
      <c r="M452"/>
    </row>
    <row r="453" spans="9:13" x14ac:dyDescent="0.25">
      <c r="I453"/>
      <c r="J453"/>
      <c r="K453"/>
      <c r="L453"/>
      <c r="M453"/>
    </row>
    <row r="454" spans="9:13" x14ac:dyDescent="0.25">
      <c r="I454"/>
      <c r="J454"/>
      <c r="K454"/>
      <c r="L454"/>
      <c r="M454"/>
    </row>
    <row r="455" spans="9:13" x14ac:dyDescent="0.25">
      <c r="I455"/>
      <c r="J455"/>
      <c r="K455"/>
      <c r="L455"/>
      <c r="M455"/>
    </row>
    <row r="456" spans="9:13" x14ac:dyDescent="0.25">
      <c r="I456"/>
      <c r="J456"/>
      <c r="K456"/>
      <c r="L456"/>
      <c r="M456"/>
    </row>
    <row r="457" spans="9:13" x14ac:dyDescent="0.25">
      <c r="I457"/>
      <c r="J457"/>
      <c r="K457"/>
      <c r="L457"/>
      <c r="M457"/>
    </row>
    <row r="458" spans="9:13" x14ac:dyDescent="0.25">
      <c r="I458"/>
      <c r="J458"/>
      <c r="K458"/>
      <c r="L458"/>
      <c r="M458"/>
    </row>
    <row r="459" spans="9:13" x14ac:dyDescent="0.25">
      <c r="I459"/>
      <c r="J459"/>
      <c r="K459"/>
      <c r="L459"/>
      <c r="M459"/>
    </row>
    <row r="460" spans="9:13" x14ac:dyDescent="0.25">
      <c r="I460"/>
      <c r="J460"/>
      <c r="K460"/>
      <c r="L460"/>
      <c r="M460"/>
    </row>
    <row r="461" spans="9:13" x14ac:dyDescent="0.25">
      <c r="I461"/>
      <c r="J461"/>
      <c r="K461"/>
      <c r="L461"/>
      <c r="M461"/>
    </row>
    <row r="462" spans="9:13" x14ac:dyDescent="0.25">
      <c r="I462"/>
      <c r="J462"/>
      <c r="K462"/>
      <c r="L462"/>
      <c r="M462"/>
    </row>
    <row r="463" spans="9:13" x14ac:dyDescent="0.25">
      <c r="I463"/>
      <c r="J463"/>
      <c r="K463"/>
      <c r="L463"/>
      <c r="M463"/>
    </row>
    <row r="464" spans="9:13" x14ac:dyDescent="0.25">
      <c r="I464"/>
      <c r="J464"/>
      <c r="K464"/>
      <c r="L464"/>
      <c r="M464"/>
    </row>
    <row r="465" spans="9:13" x14ac:dyDescent="0.25">
      <c r="I465"/>
      <c r="J465"/>
      <c r="K465"/>
      <c r="L465"/>
      <c r="M465"/>
    </row>
    <row r="466" spans="9:13" x14ac:dyDescent="0.25">
      <c r="I466"/>
      <c r="J466"/>
      <c r="K466"/>
      <c r="L466"/>
      <c r="M466"/>
    </row>
    <row r="467" spans="9:13" x14ac:dyDescent="0.25">
      <c r="I467"/>
      <c r="J467"/>
      <c r="K467"/>
      <c r="L467"/>
      <c r="M467"/>
    </row>
    <row r="468" spans="9:13" x14ac:dyDescent="0.25">
      <c r="I468"/>
      <c r="J468"/>
      <c r="K468"/>
      <c r="L468"/>
      <c r="M468"/>
    </row>
    <row r="469" spans="9:13" x14ac:dyDescent="0.25">
      <c r="I469"/>
      <c r="J469"/>
      <c r="K469"/>
      <c r="L469"/>
      <c r="M469"/>
    </row>
    <row r="470" spans="9:13" x14ac:dyDescent="0.25">
      <c r="I470"/>
      <c r="J470"/>
      <c r="K470"/>
      <c r="L470"/>
      <c r="M470"/>
    </row>
    <row r="471" spans="9:13" x14ac:dyDescent="0.25">
      <c r="I471"/>
      <c r="J471"/>
      <c r="K471"/>
      <c r="L471"/>
      <c r="M471"/>
    </row>
    <row r="472" spans="9:13" x14ac:dyDescent="0.25">
      <c r="I472"/>
      <c r="J472"/>
      <c r="K472"/>
      <c r="L472"/>
      <c r="M472"/>
    </row>
    <row r="473" spans="9:13" x14ac:dyDescent="0.25">
      <c r="I473"/>
      <c r="J473"/>
      <c r="K473"/>
      <c r="L473"/>
      <c r="M473"/>
    </row>
    <row r="474" spans="9:13" x14ac:dyDescent="0.25">
      <c r="I474"/>
      <c r="J474"/>
      <c r="K474"/>
      <c r="L474"/>
      <c r="M474"/>
    </row>
    <row r="475" spans="9:13" x14ac:dyDescent="0.25">
      <c r="I475"/>
      <c r="J475"/>
      <c r="K475"/>
      <c r="L475"/>
      <c r="M475"/>
    </row>
    <row r="476" spans="9:13" x14ac:dyDescent="0.25">
      <c r="I476"/>
      <c r="J476"/>
      <c r="K476"/>
      <c r="L476"/>
      <c r="M476"/>
    </row>
    <row r="477" spans="9:13" x14ac:dyDescent="0.25">
      <c r="I477"/>
      <c r="J477"/>
      <c r="K477"/>
      <c r="L477"/>
      <c r="M477"/>
    </row>
    <row r="478" spans="9:13" x14ac:dyDescent="0.25">
      <c r="I478"/>
      <c r="J478"/>
      <c r="K478"/>
      <c r="L478"/>
      <c r="M478"/>
    </row>
    <row r="479" spans="9:13" x14ac:dyDescent="0.25">
      <c r="I479"/>
      <c r="J479"/>
      <c r="K479"/>
      <c r="L479"/>
      <c r="M479"/>
    </row>
    <row r="480" spans="9:13" x14ac:dyDescent="0.25">
      <c r="I480"/>
      <c r="J480"/>
      <c r="K480"/>
      <c r="L480"/>
      <c r="M480"/>
    </row>
    <row r="481" spans="9:13" x14ac:dyDescent="0.25">
      <c r="I481"/>
      <c r="J481"/>
      <c r="K481"/>
      <c r="L481"/>
      <c r="M481"/>
    </row>
    <row r="482" spans="9:13" x14ac:dyDescent="0.25">
      <c r="I482"/>
      <c r="J482"/>
      <c r="K482"/>
      <c r="L482"/>
      <c r="M482"/>
    </row>
    <row r="483" spans="9:13" x14ac:dyDescent="0.25">
      <c r="I483"/>
      <c r="J483"/>
      <c r="K483"/>
      <c r="L483"/>
      <c r="M483"/>
    </row>
    <row r="484" spans="9:13" x14ac:dyDescent="0.25">
      <c r="I484"/>
      <c r="J484"/>
      <c r="K484"/>
      <c r="L484"/>
      <c r="M484"/>
    </row>
    <row r="485" spans="9:13" x14ac:dyDescent="0.25">
      <c r="I485"/>
      <c r="J485"/>
      <c r="K485"/>
      <c r="L485"/>
      <c r="M485"/>
    </row>
    <row r="486" spans="9:13" x14ac:dyDescent="0.25">
      <c r="I486"/>
      <c r="J486"/>
      <c r="K486"/>
      <c r="L486"/>
      <c r="M486"/>
    </row>
    <row r="487" spans="9:13" x14ac:dyDescent="0.25">
      <c r="I487"/>
      <c r="J487"/>
      <c r="K487"/>
      <c r="L487"/>
      <c r="M487"/>
    </row>
    <row r="488" spans="9:13" x14ac:dyDescent="0.25">
      <c r="I488"/>
      <c r="J488"/>
      <c r="K488"/>
      <c r="L488"/>
      <c r="M488"/>
    </row>
    <row r="489" spans="9:13" x14ac:dyDescent="0.25">
      <c r="I489"/>
      <c r="J489"/>
      <c r="K489"/>
      <c r="L489"/>
      <c r="M489"/>
    </row>
    <row r="490" spans="9:13" x14ac:dyDescent="0.25">
      <c r="I490"/>
      <c r="J490"/>
      <c r="K490"/>
      <c r="L490"/>
      <c r="M490"/>
    </row>
    <row r="491" spans="9:13" x14ac:dyDescent="0.25">
      <c r="I491"/>
      <c r="J491"/>
      <c r="K491"/>
      <c r="L491"/>
      <c r="M491"/>
    </row>
    <row r="492" spans="9:13" x14ac:dyDescent="0.25">
      <c r="I492"/>
      <c r="J492"/>
      <c r="K492"/>
      <c r="L492"/>
      <c r="M492"/>
    </row>
    <row r="493" spans="9:13" x14ac:dyDescent="0.25">
      <c r="I493"/>
      <c r="J493"/>
      <c r="K493"/>
      <c r="L493"/>
      <c r="M493"/>
    </row>
    <row r="494" spans="9:13" x14ac:dyDescent="0.25">
      <c r="I494"/>
      <c r="J494"/>
      <c r="K494"/>
      <c r="L494"/>
      <c r="M494"/>
    </row>
    <row r="495" spans="9:13" x14ac:dyDescent="0.25">
      <c r="I495"/>
      <c r="J495"/>
      <c r="K495"/>
      <c r="L495"/>
      <c r="M495"/>
    </row>
    <row r="496" spans="9:13" x14ac:dyDescent="0.25">
      <c r="I496"/>
      <c r="J496"/>
      <c r="K496"/>
      <c r="L496"/>
      <c r="M496"/>
    </row>
    <row r="497" spans="9:13" x14ac:dyDescent="0.25">
      <c r="I497"/>
      <c r="J497"/>
      <c r="K497"/>
      <c r="L497"/>
      <c r="M497"/>
    </row>
    <row r="498" spans="9:13" x14ac:dyDescent="0.25">
      <c r="I498"/>
      <c r="J498"/>
      <c r="K498"/>
      <c r="L498"/>
      <c r="M498"/>
    </row>
    <row r="499" spans="9:13" x14ac:dyDescent="0.25">
      <c r="I499"/>
      <c r="J499"/>
      <c r="K499"/>
      <c r="L499"/>
      <c r="M499"/>
    </row>
    <row r="500" spans="9:13" x14ac:dyDescent="0.25">
      <c r="I500"/>
      <c r="J500"/>
      <c r="K500"/>
      <c r="L500"/>
      <c r="M500"/>
    </row>
    <row r="501" spans="9:13" x14ac:dyDescent="0.25">
      <c r="I501"/>
      <c r="J501"/>
      <c r="K501"/>
      <c r="L501"/>
      <c r="M501"/>
    </row>
    <row r="502" spans="9:13" x14ac:dyDescent="0.25">
      <c r="I502"/>
      <c r="J502"/>
      <c r="K502"/>
      <c r="L502"/>
      <c r="M502"/>
    </row>
    <row r="503" spans="9:13" x14ac:dyDescent="0.25">
      <c r="I503"/>
      <c r="J503"/>
      <c r="K503"/>
      <c r="L503"/>
      <c r="M503"/>
    </row>
    <row r="504" spans="9:13" x14ac:dyDescent="0.25">
      <c r="I504"/>
      <c r="J504"/>
      <c r="K504"/>
      <c r="L504"/>
      <c r="M504"/>
    </row>
    <row r="505" spans="9:13" x14ac:dyDescent="0.25">
      <c r="I505"/>
      <c r="J505"/>
      <c r="K505"/>
      <c r="L505"/>
      <c r="M505"/>
    </row>
    <row r="506" spans="9:13" x14ac:dyDescent="0.25">
      <c r="I506"/>
      <c r="J506"/>
      <c r="K506"/>
      <c r="L506"/>
      <c r="M506"/>
    </row>
    <row r="507" spans="9:13" x14ac:dyDescent="0.25">
      <c r="I507"/>
      <c r="J507"/>
      <c r="K507"/>
      <c r="L507"/>
      <c r="M507"/>
    </row>
    <row r="508" spans="9:13" x14ac:dyDescent="0.25">
      <c r="I508"/>
      <c r="J508"/>
      <c r="K508"/>
      <c r="L508"/>
      <c r="M508"/>
    </row>
    <row r="509" spans="9:13" x14ac:dyDescent="0.25">
      <c r="I509"/>
      <c r="J509"/>
      <c r="K509"/>
      <c r="L509"/>
      <c r="M509"/>
    </row>
    <row r="510" spans="9:13" x14ac:dyDescent="0.25">
      <c r="I510"/>
      <c r="J510"/>
      <c r="K510"/>
      <c r="L510"/>
      <c r="M510"/>
    </row>
    <row r="511" spans="9:13" x14ac:dyDescent="0.25">
      <c r="I511"/>
      <c r="J511"/>
      <c r="K511"/>
      <c r="L511"/>
      <c r="M511"/>
    </row>
    <row r="512" spans="9:13" x14ac:dyDescent="0.25">
      <c r="I512"/>
      <c r="J512"/>
      <c r="K512"/>
      <c r="L512"/>
      <c r="M512"/>
    </row>
    <row r="513" spans="9:13" x14ac:dyDescent="0.25">
      <c r="I513"/>
      <c r="J513"/>
      <c r="K513"/>
      <c r="L513"/>
      <c r="M513"/>
    </row>
    <row r="514" spans="9:13" x14ac:dyDescent="0.25">
      <c r="I514"/>
      <c r="J514"/>
      <c r="K514"/>
      <c r="L514"/>
      <c r="M514"/>
    </row>
    <row r="515" spans="9:13" x14ac:dyDescent="0.25">
      <c r="I515"/>
      <c r="J515"/>
      <c r="K515"/>
      <c r="L515"/>
      <c r="M515"/>
    </row>
    <row r="516" spans="9:13" x14ac:dyDescent="0.25">
      <c r="I516"/>
      <c r="J516"/>
      <c r="K516"/>
      <c r="L516"/>
      <c r="M516"/>
    </row>
    <row r="517" spans="9:13" x14ac:dyDescent="0.25">
      <c r="I517"/>
      <c r="J517"/>
      <c r="K517"/>
      <c r="L517"/>
      <c r="M517"/>
    </row>
    <row r="518" spans="9:13" x14ac:dyDescent="0.25">
      <c r="I518"/>
      <c r="J518"/>
      <c r="K518"/>
      <c r="L518"/>
      <c r="M518"/>
    </row>
    <row r="519" spans="9:13" x14ac:dyDescent="0.25">
      <c r="I519"/>
      <c r="J519"/>
      <c r="K519"/>
      <c r="L519"/>
      <c r="M519"/>
    </row>
    <row r="520" spans="9:13" x14ac:dyDescent="0.25">
      <c r="I520"/>
      <c r="J520"/>
      <c r="K520"/>
      <c r="L520"/>
      <c r="M520"/>
    </row>
    <row r="521" spans="9:13" x14ac:dyDescent="0.25">
      <c r="I521"/>
      <c r="J521"/>
      <c r="K521"/>
      <c r="L521"/>
      <c r="M521"/>
    </row>
    <row r="522" spans="9:13" x14ac:dyDescent="0.25">
      <c r="I522"/>
      <c r="J522"/>
      <c r="K522"/>
      <c r="L522"/>
      <c r="M522"/>
    </row>
    <row r="523" spans="9:13" x14ac:dyDescent="0.25">
      <c r="I523"/>
      <c r="J523"/>
      <c r="K523"/>
      <c r="L523"/>
      <c r="M523"/>
    </row>
    <row r="524" spans="9:13" x14ac:dyDescent="0.25">
      <c r="I524"/>
      <c r="J524"/>
      <c r="K524"/>
      <c r="L524"/>
      <c r="M524"/>
    </row>
    <row r="525" spans="9:13" x14ac:dyDescent="0.25">
      <c r="I525"/>
      <c r="J525"/>
      <c r="K525"/>
      <c r="L525"/>
      <c r="M525"/>
    </row>
    <row r="526" spans="9:13" x14ac:dyDescent="0.25">
      <c r="I526"/>
      <c r="J526"/>
      <c r="K526"/>
      <c r="L526"/>
      <c r="M526"/>
    </row>
    <row r="527" spans="9:13" x14ac:dyDescent="0.25">
      <c r="I527"/>
      <c r="J527"/>
      <c r="K527"/>
      <c r="L527"/>
      <c r="M527"/>
    </row>
    <row r="528" spans="9:13" x14ac:dyDescent="0.25">
      <c r="I528"/>
      <c r="J528"/>
      <c r="K528"/>
      <c r="L528"/>
      <c r="M528"/>
    </row>
    <row r="529" spans="9:13" x14ac:dyDescent="0.25">
      <c r="I529"/>
      <c r="J529"/>
      <c r="K529"/>
      <c r="L529"/>
      <c r="M529"/>
    </row>
    <row r="530" spans="9:13" x14ac:dyDescent="0.25">
      <c r="I530"/>
      <c r="J530"/>
      <c r="K530"/>
      <c r="L530"/>
      <c r="M530"/>
    </row>
    <row r="531" spans="9:13" x14ac:dyDescent="0.25">
      <c r="I531"/>
      <c r="J531"/>
      <c r="K531"/>
      <c r="L531"/>
      <c r="M531"/>
    </row>
    <row r="532" spans="9:13" x14ac:dyDescent="0.25">
      <c r="I532"/>
      <c r="J532"/>
      <c r="K532"/>
      <c r="L532"/>
      <c r="M532"/>
    </row>
    <row r="533" spans="9:13" x14ac:dyDescent="0.25">
      <c r="I533"/>
      <c r="J533"/>
      <c r="K533"/>
      <c r="L533"/>
      <c r="M533"/>
    </row>
    <row r="534" spans="9:13" x14ac:dyDescent="0.25">
      <c r="I534"/>
      <c r="J534"/>
      <c r="K534"/>
      <c r="L534"/>
      <c r="M534"/>
    </row>
    <row r="535" spans="9:13" x14ac:dyDescent="0.25">
      <c r="I535"/>
      <c r="J535"/>
      <c r="K535"/>
      <c r="L535"/>
      <c r="M535"/>
    </row>
    <row r="536" spans="9:13" x14ac:dyDescent="0.25">
      <c r="I536"/>
      <c r="J536"/>
      <c r="K536"/>
      <c r="L536"/>
      <c r="M536"/>
    </row>
    <row r="537" spans="9:13" x14ac:dyDescent="0.25">
      <c r="I537"/>
      <c r="J537"/>
      <c r="K537"/>
      <c r="L537"/>
      <c r="M537"/>
    </row>
    <row r="538" spans="9:13" x14ac:dyDescent="0.25">
      <c r="I538"/>
      <c r="J538"/>
      <c r="K538"/>
      <c r="L538"/>
      <c r="M538"/>
    </row>
    <row r="539" spans="9:13" x14ac:dyDescent="0.25">
      <c r="I539"/>
      <c r="J539"/>
      <c r="K539"/>
      <c r="L539"/>
      <c r="M539"/>
    </row>
    <row r="540" spans="9:13" x14ac:dyDescent="0.25">
      <c r="I540"/>
      <c r="J540"/>
      <c r="K540"/>
      <c r="L540"/>
      <c r="M540"/>
    </row>
    <row r="541" spans="9:13" x14ac:dyDescent="0.25">
      <c r="I541"/>
      <c r="J541"/>
      <c r="K541"/>
      <c r="L541"/>
      <c r="M541"/>
    </row>
    <row r="542" spans="9:13" x14ac:dyDescent="0.25">
      <c r="I542"/>
      <c r="J542"/>
      <c r="K542"/>
      <c r="L542"/>
      <c r="M542"/>
    </row>
    <row r="543" spans="9:13" x14ac:dyDescent="0.25">
      <c r="I543"/>
      <c r="J543"/>
      <c r="K543"/>
      <c r="L543"/>
      <c r="M543"/>
    </row>
    <row r="544" spans="9:13" x14ac:dyDescent="0.25">
      <c r="I544"/>
      <c r="J544"/>
      <c r="K544"/>
      <c r="L544"/>
      <c r="M544"/>
    </row>
    <row r="545" spans="9:13" x14ac:dyDescent="0.25">
      <c r="I545"/>
      <c r="J545"/>
      <c r="K545"/>
      <c r="L545"/>
      <c r="M545"/>
    </row>
    <row r="546" spans="9:13" x14ac:dyDescent="0.25">
      <c r="I546"/>
      <c r="J546"/>
      <c r="K546"/>
      <c r="L546"/>
      <c r="M546"/>
    </row>
    <row r="547" spans="9:13" x14ac:dyDescent="0.25">
      <c r="I547"/>
      <c r="J547"/>
      <c r="K547"/>
      <c r="L547"/>
      <c r="M547"/>
    </row>
    <row r="548" spans="9:13" x14ac:dyDescent="0.25">
      <c r="I548"/>
      <c r="J548"/>
      <c r="K548"/>
      <c r="L548"/>
      <c r="M548"/>
    </row>
    <row r="549" spans="9:13" x14ac:dyDescent="0.25">
      <c r="I549"/>
      <c r="J549"/>
      <c r="K549"/>
      <c r="L549"/>
      <c r="M549"/>
    </row>
    <row r="550" spans="9:13" x14ac:dyDescent="0.25">
      <c r="I550"/>
      <c r="J550"/>
      <c r="K550"/>
      <c r="L550"/>
      <c r="M550"/>
    </row>
    <row r="551" spans="9:13" x14ac:dyDescent="0.25">
      <c r="I551"/>
      <c r="J551"/>
      <c r="K551"/>
      <c r="L551"/>
      <c r="M551"/>
    </row>
    <row r="552" spans="9:13" x14ac:dyDescent="0.25">
      <c r="I552"/>
      <c r="J552"/>
      <c r="K552"/>
      <c r="L552"/>
      <c r="M552"/>
    </row>
    <row r="553" spans="9:13" x14ac:dyDescent="0.25">
      <c r="I553"/>
      <c r="J553"/>
      <c r="K553"/>
      <c r="L553"/>
      <c r="M553"/>
    </row>
    <row r="554" spans="9:13" x14ac:dyDescent="0.25">
      <c r="I554"/>
      <c r="J554"/>
      <c r="K554"/>
      <c r="L554"/>
      <c r="M554"/>
    </row>
    <row r="555" spans="9:13" x14ac:dyDescent="0.25">
      <c r="I555"/>
      <c r="J555"/>
      <c r="K555"/>
      <c r="L555"/>
      <c r="M555"/>
    </row>
    <row r="556" spans="9:13" x14ac:dyDescent="0.25">
      <c r="I556"/>
      <c r="J556"/>
      <c r="K556"/>
      <c r="L556"/>
      <c r="M556"/>
    </row>
    <row r="557" spans="9:13" x14ac:dyDescent="0.25">
      <c r="I557"/>
      <c r="J557"/>
      <c r="K557"/>
      <c r="L557"/>
      <c r="M557"/>
    </row>
    <row r="558" spans="9:13" x14ac:dyDescent="0.25">
      <c r="I558"/>
      <c r="J558"/>
      <c r="K558"/>
      <c r="L558"/>
      <c r="M558"/>
    </row>
    <row r="559" spans="9:13" x14ac:dyDescent="0.25">
      <c r="I559"/>
      <c r="J559"/>
      <c r="K559"/>
      <c r="L559"/>
      <c r="M559"/>
    </row>
    <row r="560" spans="9:13" x14ac:dyDescent="0.25">
      <c r="I560"/>
      <c r="J560"/>
      <c r="K560"/>
      <c r="L560"/>
      <c r="M560"/>
    </row>
    <row r="561" spans="9:13" x14ac:dyDescent="0.25">
      <c r="I561"/>
      <c r="J561"/>
      <c r="K561"/>
      <c r="L561"/>
      <c r="M561"/>
    </row>
    <row r="562" spans="9:13" x14ac:dyDescent="0.25">
      <c r="I562"/>
      <c r="J562"/>
      <c r="K562"/>
      <c r="L562"/>
      <c r="M562"/>
    </row>
    <row r="563" spans="9:13" x14ac:dyDescent="0.25">
      <c r="I563"/>
      <c r="J563"/>
      <c r="K563"/>
      <c r="L563"/>
      <c r="M563"/>
    </row>
    <row r="564" spans="9:13" x14ac:dyDescent="0.25">
      <c r="I564"/>
      <c r="J564"/>
      <c r="K564"/>
      <c r="L564"/>
      <c r="M564"/>
    </row>
    <row r="565" spans="9:13" x14ac:dyDescent="0.25">
      <c r="I565"/>
      <c r="J565"/>
      <c r="K565"/>
      <c r="L565"/>
      <c r="M565"/>
    </row>
    <row r="566" spans="9:13" x14ac:dyDescent="0.25">
      <c r="I566"/>
      <c r="J566"/>
      <c r="K566"/>
      <c r="L566"/>
      <c r="M566"/>
    </row>
    <row r="567" spans="9:13" x14ac:dyDescent="0.25">
      <c r="I567"/>
      <c r="J567"/>
      <c r="K567"/>
      <c r="L567"/>
      <c r="M567"/>
    </row>
    <row r="568" spans="9:13" x14ac:dyDescent="0.25">
      <c r="I568"/>
      <c r="J568"/>
      <c r="K568"/>
      <c r="L568"/>
      <c r="M568"/>
    </row>
    <row r="569" spans="9:13" x14ac:dyDescent="0.25">
      <c r="I569"/>
      <c r="J569"/>
      <c r="K569"/>
      <c r="L569"/>
      <c r="M569"/>
    </row>
    <row r="570" spans="9:13" x14ac:dyDescent="0.25">
      <c r="I570"/>
      <c r="J570"/>
      <c r="K570"/>
      <c r="L570"/>
      <c r="M570"/>
    </row>
    <row r="571" spans="9:13" x14ac:dyDescent="0.25">
      <c r="I571"/>
      <c r="J571"/>
      <c r="K571"/>
      <c r="L571"/>
      <c r="M571"/>
    </row>
    <row r="572" spans="9:13" x14ac:dyDescent="0.25">
      <c r="I572"/>
      <c r="J572"/>
      <c r="K572"/>
      <c r="L572"/>
      <c r="M572"/>
    </row>
    <row r="573" spans="9:13" x14ac:dyDescent="0.25">
      <c r="I573"/>
      <c r="J573"/>
      <c r="K573"/>
      <c r="L573"/>
      <c r="M573"/>
    </row>
    <row r="574" spans="9:13" x14ac:dyDescent="0.25">
      <c r="I574"/>
      <c r="J574"/>
      <c r="K574"/>
      <c r="L574"/>
      <c r="M574"/>
    </row>
    <row r="575" spans="9:13" x14ac:dyDescent="0.25">
      <c r="I575"/>
      <c r="J575"/>
      <c r="K575"/>
      <c r="L575"/>
      <c r="M575"/>
    </row>
    <row r="576" spans="9:13" x14ac:dyDescent="0.25">
      <c r="I576"/>
      <c r="J576"/>
      <c r="K576"/>
      <c r="L576"/>
      <c r="M576"/>
    </row>
    <row r="577" spans="9:13" x14ac:dyDescent="0.25">
      <c r="I577"/>
      <c r="J577"/>
      <c r="K577"/>
      <c r="L577"/>
      <c r="M577"/>
    </row>
    <row r="578" spans="9:13" x14ac:dyDescent="0.25">
      <c r="I578"/>
      <c r="J578"/>
      <c r="K578"/>
      <c r="L578"/>
      <c r="M578"/>
    </row>
    <row r="579" spans="9:13" x14ac:dyDescent="0.25">
      <c r="I579"/>
      <c r="J579"/>
      <c r="K579"/>
      <c r="L579"/>
      <c r="M579"/>
    </row>
    <row r="580" spans="9:13" x14ac:dyDescent="0.25">
      <c r="I580"/>
      <c r="J580"/>
      <c r="K580"/>
      <c r="L580"/>
      <c r="M580"/>
    </row>
    <row r="581" spans="9:13" x14ac:dyDescent="0.25">
      <c r="I581"/>
      <c r="J581"/>
      <c r="K581"/>
      <c r="L581"/>
      <c r="M581"/>
    </row>
    <row r="582" spans="9:13" x14ac:dyDescent="0.25">
      <c r="I582"/>
      <c r="J582"/>
      <c r="K582"/>
      <c r="L582"/>
      <c r="M582"/>
    </row>
    <row r="583" spans="9:13" x14ac:dyDescent="0.25">
      <c r="I583"/>
      <c r="J583"/>
      <c r="K583"/>
      <c r="L583"/>
      <c r="M583"/>
    </row>
    <row r="584" spans="9:13" x14ac:dyDescent="0.25">
      <c r="I584"/>
      <c r="J584"/>
      <c r="K584"/>
      <c r="L584"/>
      <c r="M584"/>
    </row>
    <row r="585" spans="9:13" x14ac:dyDescent="0.25">
      <c r="I585"/>
      <c r="J585"/>
      <c r="K585"/>
      <c r="L585"/>
      <c r="M585"/>
    </row>
    <row r="586" spans="9:13" x14ac:dyDescent="0.25">
      <c r="I586"/>
      <c r="J586"/>
      <c r="K586"/>
      <c r="L586"/>
      <c r="M586"/>
    </row>
    <row r="587" spans="9:13" x14ac:dyDescent="0.25">
      <c r="I587"/>
      <c r="J587"/>
      <c r="K587"/>
      <c r="L587"/>
      <c r="M587"/>
    </row>
    <row r="588" spans="9:13" x14ac:dyDescent="0.25">
      <c r="I588"/>
      <c r="J588"/>
      <c r="K588"/>
      <c r="L588"/>
      <c r="M588"/>
    </row>
    <row r="589" spans="9:13" x14ac:dyDescent="0.25">
      <c r="I589"/>
      <c r="J589"/>
      <c r="K589"/>
      <c r="L589"/>
      <c r="M589"/>
    </row>
    <row r="590" spans="9:13" x14ac:dyDescent="0.25">
      <c r="I590"/>
      <c r="J590"/>
      <c r="K590"/>
      <c r="L590"/>
      <c r="M590"/>
    </row>
    <row r="591" spans="9:13" x14ac:dyDescent="0.25">
      <c r="I591"/>
      <c r="J591"/>
      <c r="K591"/>
      <c r="L591"/>
      <c r="M591"/>
    </row>
    <row r="592" spans="9:13" x14ac:dyDescent="0.25">
      <c r="I592"/>
      <c r="J592"/>
      <c r="K592"/>
      <c r="L592"/>
      <c r="M592"/>
    </row>
    <row r="593" spans="9:13" x14ac:dyDescent="0.25">
      <c r="I593"/>
      <c r="J593"/>
      <c r="K593"/>
      <c r="L593"/>
      <c r="M593"/>
    </row>
    <row r="594" spans="9:13" x14ac:dyDescent="0.25">
      <c r="I594"/>
      <c r="J594"/>
      <c r="K594"/>
      <c r="L594"/>
      <c r="M594"/>
    </row>
    <row r="595" spans="9:13" x14ac:dyDescent="0.25">
      <c r="I595"/>
      <c r="J595"/>
      <c r="K595"/>
      <c r="L595"/>
      <c r="M595"/>
    </row>
    <row r="596" spans="9:13" x14ac:dyDescent="0.25">
      <c r="I596"/>
      <c r="J596"/>
      <c r="K596"/>
      <c r="L596"/>
      <c r="M596"/>
    </row>
    <row r="597" spans="9:13" x14ac:dyDescent="0.25">
      <c r="I597"/>
      <c r="J597"/>
      <c r="K597"/>
      <c r="L597"/>
      <c r="M597"/>
    </row>
    <row r="598" spans="9:13" x14ac:dyDescent="0.25">
      <c r="I598"/>
      <c r="J598"/>
      <c r="K598"/>
      <c r="L598"/>
      <c r="M598"/>
    </row>
    <row r="599" spans="9:13" x14ac:dyDescent="0.25">
      <c r="I599"/>
      <c r="J599"/>
      <c r="K599"/>
      <c r="L599"/>
      <c r="M599"/>
    </row>
    <row r="600" spans="9:13" x14ac:dyDescent="0.25">
      <c r="I600"/>
      <c r="J600"/>
      <c r="K600"/>
      <c r="L600"/>
      <c r="M600"/>
    </row>
    <row r="601" spans="9:13" x14ac:dyDescent="0.25">
      <c r="I601"/>
      <c r="J601"/>
      <c r="K601"/>
      <c r="L601"/>
      <c r="M601"/>
    </row>
    <row r="602" spans="9:13" x14ac:dyDescent="0.25">
      <c r="I602"/>
      <c r="J602"/>
      <c r="K602"/>
      <c r="L602"/>
      <c r="M602"/>
    </row>
    <row r="603" spans="9:13" x14ac:dyDescent="0.25">
      <c r="I603"/>
      <c r="J603"/>
      <c r="K603"/>
      <c r="L603"/>
      <c r="M603"/>
    </row>
    <row r="604" spans="9:13" x14ac:dyDescent="0.25">
      <c r="I604"/>
      <c r="J604"/>
      <c r="K604"/>
      <c r="L604"/>
      <c r="M604"/>
    </row>
    <row r="605" spans="9:13" x14ac:dyDescent="0.25">
      <c r="I605"/>
      <c r="J605"/>
      <c r="K605"/>
      <c r="L605"/>
      <c r="M605"/>
    </row>
    <row r="606" spans="9:13" x14ac:dyDescent="0.25">
      <c r="I606"/>
      <c r="J606"/>
      <c r="K606"/>
      <c r="L606"/>
      <c r="M606"/>
    </row>
    <row r="607" spans="9:13" x14ac:dyDescent="0.25">
      <c r="I607"/>
      <c r="J607"/>
      <c r="K607"/>
      <c r="L607"/>
      <c r="M607"/>
    </row>
    <row r="608" spans="9:13" x14ac:dyDescent="0.25">
      <c r="I608"/>
      <c r="J608"/>
      <c r="K608"/>
      <c r="L608"/>
      <c r="M608"/>
    </row>
    <row r="609" spans="9:13" x14ac:dyDescent="0.25">
      <c r="I609"/>
      <c r="J609"/>
      <c r="K609"/>
      <c r="L609"/>
      <c r="M609"/>
    </row>
    <row r="610" spans="9:13" x14ac:dyDescent="0.25">
      <c r="I610"/>
      <c r="J610"/>
      <c r="K610"/>
      <c r="L610"/>
      <c r="M610"/>
    </row>
    <row r="611" spans="9:13" x14ac:dyDescent="0.25">
      <c r="I611"/>
      <c r="J611"/>
      <c r="K611"/>
      <c r="L611"/>
      <c r="M611"/>
    </row>
    <row r="612" spans="9:13" x14ac:dyDescent="0.25">
      <c r="I612"/>
      <c r="J612"/>
      <c r="K612"/>
      <c r="L612"/>
      <c r="M612"/>
    </row>
    <row r="613" spans="9:13" x14ac:dyDescent="0.25">
      <c r="I613"/>
      <c r="J613"/>
      <c r="K613"/>
      <c r="L613"/>
      <c r="M613"/>
    </row>
    <row r="614" spans="9:13" x14ac:dyDescent="0.25">
      <c r="I614"/>
      <c r="J614"/>
      <c r="K614"/>
      <c r="L614"/>
      <c r="M614"/>
    </row>
    <row r="615" spans="9:13" x14ac:dyDescent="0.25">
      <c r="I615"/>
      <c r="J615"/>
      <c r="K615"/>
      <c r="L615"/>
      <c r="M615"/>
    </row>
    <row r="616" spans="9:13" x14ac:dyDescent="0.25">
      <c r="I616"/>
      <c r="J616"/>
      <c r="K616"/>
      <c r="L616"/>
      <c r="M616"/>
    </row>
    <row r="617" spans="9:13" x14ac:dyDescent="0.25">
      <c r="I617"/>
      <c r="J617"/>
      <c r="K617"/>
      <c r="L617"/>
      <c r="M617"/>
    </row>
    <row r="618" spans="9:13" x14ac:dyDescent="0.25">
      <c r="I618"/>
      <c r="J618"/>
      <c r="K618"/>
      <c r="L618"/>
      <c r="M618"/>
    </row>
    <row r="619" spans="9:13" x14ac:dyDescent="0.25">
      <c r="I619"/>
      <c r="J619"/>
      <c r="K619"/>
      <c r="L619"/>
      <c r="M619"/>
    </row>
    <row r="620" spans="9:13" x14ac:dyDescent="0.25">
      <c r="I620"/>
      <c r="J620"/>
      <c r="K620"/>
      <c r="L620"/>
      <c r="M620"/>
    </row>
    <row r="621" spans="9:13" x14ac:dyDescent="0.25">
      <c r="I621"/>
      <c r="J621"/>
      <c r="K621"/>
      <c r="L621"/>
      <c r="M621"/>
    </row>
    <row r="622" spans="9:13" x14ac:dyDescent="0.25">
      <c r="I622"/>
      <c r="J622"/>
      <c r="K622"/>
      <c r="L622"/>
      <c r="M622"/>
    </row>
    <row r="623" spans="9:13" x14ac:dyDescent="0.25">
      <c r="I623"/>
      <c r="J623"/>
      <c r="K623"/>
      <c r="L623"/>
      <c r="M623"/>
    </row>
    <row r="624" spans="9:13" x14ac:dyDescent="0.25">
      <c r="I624"/>
      <c r="J624"/>
      <c r="K624"/>
      <c r="L624"/>
      <c r="M624"/>
    </row>
    <row r="625" spans="9:13" x14ac:dyDescent="0.25">
      <c r="I625"/>
      <c r="J625"/>
      <c r="K625"/>
      <c r="L625"/>
      <c r="M625"/>
    </row>
    <row r="626" spans="9:13" x14ac:dyDescent="0.25">
      <c r="I626"/>
      <c r="J626"/>
      <c r="K626"/>
      <c r="L626"/>
      <c r="M626"/>
    </row>
    <row r="627" spans="9:13" x14ac:dyDescent="0.25">
      <c r="I627"/>
      <c r="J627"/>
      <c r="K627"/>
      <c r="L627"/>
      <c r="M627"/>
    </row>
    <row r="628" spans="9:13" x14ac:dyDescent="0.25">
      <c r="I628"/>
      <c r="J628"/>
      <c r="K628"/>
      <c r="L628"/>
      <c r="M628"/>
    </row>
    <row r="629" spans="9:13" x14ac:dyDescent="0.25">
      <c r="I629"/>
      <c r="J629"/>
      <c r="K629"/>
      <c r="L629"/>
      <c r="M629"/>
    </row>
    <row r="630" spans="9:13" x14ac:dyDescent="0.25">
      <c r="I630"/>
      <c r="J630"/>
      <c r="K630"/>
      <c r="L630"/>
      <c r="M630"/>
    </row>
    <row r="631" spans="9:13" x14ac:dyDescent="0.25">
      <c r="I631"/>
      <c r="J631"/>
      <c r="K631"/>
      <c r="L631"/>
      <c r="M631"/>
    </row>
    <row r="632" spans="9:13" x14ac:dyDescent="0.25">
      <c r="I632"/>
      <c r="J632"/>
      <c r="K632"/>
      <c r="L632"/>
      <c r="M632"/>
    </row>
    <row r="633" spans="9:13" x14ac:dyDescent="0.25">
      <c r="I633"/>
      <c r="J633"/>
      <c r="K633"/>
      <c r="L633"/>
      <c r="M633"/>
    </row>
    <row r="634" spans="9:13" x14ac:dyDescent="0.25">
      <c r="I634"/>
      <c r="J634"/>
      <c r="K634"/>
      <c r="L634"/>
      <c r="M634"/>
    </row>
    <row r="635" spans="9:13" x14ac:dyDescent="0.25">
      <c r="I635"/>
      <c r="J635"/>
      <c r="K635"/>
      <c r="L635"/>
      <c r="M635"/>
    </row>
    <row r="636" spans="9:13" x14ac:dyDescent="0.25">
      <c r="I636"/>
      <c r="J636"/>
      <c r="K636"/>
      <c r="L636"/>
      <c r="M636"/>
    </row>
    <row r="637" spans="9:13" x14ac:dyDescent="0.25">
      <c r="I637"/>
      <c r="J637"/>
      <c r="K637"/>
      <c r="L637"/>
      <c r="M637"/>
    </row>
    <row r="638" spans="9:13" x14ac:dyDescent="0.25">
      <c r="I638"/>
      <c r="J638"/>
      <c r="K638"/>
      <c r="L638"/>
      <c r="M638"/>
    </row>
    <row r="639" spans="9:13" x14ac:dyDescent="0.25">
      <c r="I639"/>
      <c r="J639"/>
      <c r="K639"/>
      <c r="L639"/>
      <c r="M639"/>
    </row>
    <row r="640" spans="9:13" x14ac:dyDescent="0.25">
      <c r="I640"/>
      <c r="J640"/>
      <c r="K640"/>
      <c r="L640"/>
      <c r="M640"/>
    </row>
    <row r="641" spans="9:13" x14ac:dyDescent="0.25">
      <c r="I641"/>
      <c r="J641"/>
      <c r="K641"/>
      <c r="L641"/>
      <c r="M641"/>
    </row>
    <row r="642" spans="9:13" x14ac:dyDescent="0.25">
      <c r="I642"/>
      <c r="J642"/>
      <c r="K642"/>
      <c r="L642"/>
      <c r="M642"/>
    </row>
    <row r="643" spans="9:13" x14ac:dyDescent="0.25">
      <c r="I643"/>
      <c r="J643"/>
      <c r="K643"/>
      <c r="L643"/>
      <c r="M643"/>
    </row>
    <row r="644" spans="9:13" x14ac:dyDescent="0.25">
      <c r="I644"/>
      <c r="J644"/>
      <c r="K644"/>
      <c r="L644"/>
      <c r="M644"/>
    </row>
    <row r="645" spans="9:13" x14ac:dyDescent="0.25">
      <c r="I645"/>
      <c r="J645"/>
      <c r="K645"/>
      <c r="L645"/>
      <c r="M645"/>
    </row>
    <row r="646" spans="9:13" x14ac:dyDescent="0.25">
      <c r="I646"/>
      <c r="J646"/>
      <c r="K646"/>
      <c r="L646"/>
      <c r="M646"/>
    </row>
    <row r="647" spans="9:13" x14ac:dyDescent="0.25">
      <c r="I647"/>
      <c r="J647"/>
      <c r="K647"/>
      <c r="L647"/>
      <c r="M647"/>
    </row>
    <row r="648" spans="9:13" x14ac:dyDescent="0.25">
      <c r="I648"/>
      <c r="J648"/>
      <c r="K648"/>
      <c r="L648"/>
      <c r="M648"/>
    </row>
    <row r="649" spans="9:13" x14ac:dyDescent="0.25">
      <c r="I649"/>
      <c r="J649"/>
      <c r="K649"/>
      <c r="L649"/>
      <c r="M649"/>
    </row>
    <row r="650" spans="9:13" x14ac:dyDescent="0.25">
      <c r="I650"/>
      <c r="J650"/>
      <c r="K650"/>
      <c r="L650"/>
      <c r="M650"/>
    </row>
    <row r="651" spans="9:13" x14ac:dyDescent="0.25">
      <c r="I651"/>
      <c r="J651"/>
      <c r="K651"/>
      <c r="L651"/>
      <c r="M651"/>
    </row>
    <row r="652" spans="9:13" x14ac:dyDescent="0.25">
      <c r="I652"/>
      <c r="J652"/>
      <c r="K652"/>
      <c r="L652"/>
      <c r="M652"/>
    </row>
    <row r="653" spans="9:13" x14ac:dyDescent="0.25">
      <c r="I653"/>
      <c r="J653"/>
      <c r="K653"/>
      <c r="L653"/>
      <c r="M653"/>
    </row>
    <row r="654" spans="9:13" x14ac:dyDescent="0.25">
      <c r="I654"/>
      <c r="J654"/>
      <c r="K654"/>
      <c r="L654"/>
      <c r="M654"/>
    </row>
    <row r="655" spans="9:13" x14ac:dyDescent="0.25">
      <c r="I655"/>
      <c r="J655"/>
      <c r="K655"/>
      <c r="L655"/>
      <c r="M655"/>
    </row>
    <row r="656" spans="9:13" x14ac:dyDescent="0.25">
      <c r="I656"/>
      <c r="J656"/>
      <c r="K656"/>
      <c r="L656"/>
      <c r="M656"/>
    </row>
    <row r="657" spans="9:13" x14ac:dyDescent="0.25">
      <c r="I657"/>
      <c r="J657"/>
      <c r="K657"/>
      <c r="L657"/>
      <c r="M657"/>
    </row>
    <row r="658" spans="9:13" x14ac:dyDescent="0.25">
      <c r="I658"/>
      <c r="J658"/>
      <c r="K658"/>
      <c r="L658"/>
      <c r="M658"/>
    </row>
    <row r="659" spans="9:13" x14ac:dyDescent="0.25">
      <c r="I659"/>
      <c r="J659"/>
      <c r="K659"/>
      <c r="L659"/>
      <c r="M659"/>
    </row>
    <row r="660" spans="9:13" x14ac:dyDescent="0.25">
      <c r="I660"/>
      <c r="J660"/>
      <c r="K660"/>
      <c r="L660"/>
      <c r="M660"/>
    </row>
    <row r="661" spans="9:13" x14ac:dyDescent="0.25">
      <c r="I661"/>
      <c r="J661"/>
      <c r="K661"/>
      <c r="L661"/>
      <c r="M661"/>
    </row>
    <row r="662" spans="9:13" x14ac:dyDescent="0.25">
      <c r="I662"/>
      <c r="J662"/>
      <c r="K662"/>
      <c r="L662"/>
      <c r="M662"/>
    </row>
    <row r="663" spans="9:13" x14ac:dyDescent="0.25">
      <c r="I663"/>
      <c r="J663"/>
      <c r="K663"/>
      <c r="L663"/>
      <c r="M663"/>
    </row>
    <row r="664" spans="9:13" x14ac:dyDescent="0.25">
      <c r="I664"/>
      <c r="J664"/>
      <c r="K664"/>
      <c r="L664"/>
      <c r="M664"/>
    </row>
    <row r="665" spans="9:13" x14ac:dyDescent="0.25">
      <c r="I665"/>
      <c r="J665"/>
      <c r="K665"/>
      <c r="L665"/>
      <c r="M665"/>
    </row>
    <row r="666" spans="9:13" x14ac:dyDescent="0.25">
      <c r="I666"/>
      <c r="J666"/>
      <c r="K666"/>
      <c r="L666"/>
      <c r="M666"/>
    </row>
    <row r="667" spans="9:13" x14ac:dyDescent="0.25">
      <c r="I667"/>
      <c r="J667"/>
      <c r="K667"/>
      <c r="L667"/>
      <c r="M667"/>
    </row>
    <row r="668" spans="9:13" x14ac:dyDescent="0.25">
      <c r="I668"/>
      <c r="J668"/>
      <c r="K668"/>
      <c r="L668"/>
      <c r="M668"/>
    </row>
    <row r="669" spans="9:13" x14ac:dyDescent="0.25">
      <c r="I669"/>
      <c r="J669"/>
      <c r="K669"/>
      <c r="L669"/>
      <c r="M669"/>
    </row>
    <row r="670" spans="9:13" x14ac:dyDescent="0.25">
      <c r="I670"/>
      <c r="J670"/>
      <c r="K670"/>
      <c r="L670"/>
      <c r="M670"/>
    </row>
    <row r="671" spans="9:13" x14ac:dyDescent="0.25">
      <c r="I671"/>
      <c r="J671"/>
      <c r="K671"/>
      <c r="L671"/>
      <c r="M671"/>
    </row>
    <row r="672" spans="9:13" x14ac:dyDescent="0.25">
      <c r="I672"/>
      <c r="J672"/>
      <c r="K672"/>
      <c r="L672"/>
      <c r="M672"/>
    </row>
    <row r="673" spans="9:13" x14ac:dyDescent="0.25">
      <c r="I673"/>
      <c r="J673"/>
      <c r="K673"/>
      <c r="L673"/>
      <c r="M673"/>
    </row>
    <row r="674" spans="9:13" x14ac:dyDescent="0.25">
      <c r="I674"/>
      <c r="J674"/>
      <c r="K674"/>
      <c r="L674"/>
      <c r="M674"/>
    </row>
    <row r="675" spans="9:13" x14ac:dyDescent="0.25">
      <c r="I675"/>
      <c r="J675"/>
      <c r="K675"/>
      <c r="L675"/>
      <c r="M675"/>
    </row>
    <row r="676" spans="9:13" x14ac:dyDescent="0.25">
      <c r="I676"/>
      <c r="J676"/>
      <c r="K676"/>
      <c r="L676"/>
      <c r="M676"/>
    </row>
    <row r="677" spans="9:13" x14ac:dyDescent="0.25">
      <c r="I677"/>
      <c r="J677"/>
      <c r="K677"/>
      <c r="L677"/>
      <c r="M677"/>
    </row>
    <row r="678" spans="9:13" x14ac:dyDescent="0.25">
      <c r="I678"/>
      <c r="J678"/>
      <c r="K678"/>
      <c r="L678"/>
      <c r="M678"/>
    </row>
    <row r="679" spans="9:13" x14ac:dyDescent="0.25">
      <c r="I679"/>
      <c r="J679"/>
      <c r="K679"/>
      <c r="L679"/>
      <c r="M679"/>
    </row>
    <row r="680" spans="9:13" x14ac:dyDescent="0.25">
      <c r="I680"/>
      <c r="J680"/>
      <c r="K680"/>
      <c r="L680"/>
      <c r="M680"/>
    </row>
    <row r="681" spans="9:13" x14ac:dyDescent="0.25">
      <c r="I681"/>
      <c r="J681"/>
      <c r="K681"/>
      <c r="L681"/>
      <c r="M681"/>
    </row>
    <row r="682" spans="9:13" x14ac:dyDescent="0.25">
      <c r="I682"/>
      <c r="J682"/>
      <c r="K682"/>
      <c r="L682"/>
      <c r="M682"/>
    </row>
    <row r="683" spans="9:13" x14ac:dyDescent="0.25">
      <c r="I683"/>
      <c r="J683"/>
      <c r="K683"/>
      <c r="L683"/>
      <c r="M683"/>
    </row>
    <row r="684" spans="9:13" x14ac:dyDescent="0.25">
      <c r="I684"/>
      <c r="J684"/>
      <c r="K684"/>
      <c r="L684"/>
      <c r="M684"/>
    </row>
    <row r="685" spans="9:13" x14ac:dyDescent="0.25">
      <c r="I685"/>
      <c r="J685"/>
      <c r="K685"/>
      <c r="L685"/>
      <c r="M685"/>
    </row>
    <row r="686" spans="9:13" x14ac:dyDescent="0.25">
      <c r="I686"/>
      <c r="J686"/>
      <c r="K686"/>
      <c r="L686"/>
      <c r="M686"/>
    </row>
    <row r="687" spans="9:13" x14ac:dyDescent="0.25">
      <c r="I687"/>
      <c r="J687"/>
      <c r="K687"/>
      <c r="L687"/>
      <c r="M687"/>
    </row>
    <row r="688" spans="9:13" x14ac:dyDescent="0.25">
      <c r="I688"/>
      <c r="J688"/>
      <c r="K688"/>
      <c r="L688"/>
      <c r="M688"/>
    </row>
    <row r="689" spans="9:13" x14ac:dyDescent="0.25">
      <c r="I689"/>
      <c r="J689"/>
      <c r="K689"/>
      <c r="L689"/>
      <c r="M689"/>
    </row>
    <row r="690" spans="9:13" x14ac:dyDescent="0.25">
      <c r="I690"/>
      <c r="J690"/>
      <c r="K690"/>
      <c r="L690"/>
      <c r="M690"/>
    </row>
    <row r="691" spans="9:13" x14ac:dyDescent="0.25">
      <c r="I691"/>
      <c r="J691"/>
      <c r="K691"/>
      <c r="L691"/>
      <c r="M691"/>
    </row>
    <row r="692" spans="9:13" x14ac:dyDescent="0.25">
      <c r="I692"/>
      <c r="J692"/>
      <c r="K692"/>
      <c r="L692"/>
      <c r="M692"/>
    </row>
    <row r="693" spans="9:13" x14ac:dyDescent="0.25">
      <c r="I693"/>
      <c r="J693"/>
      <c r="K693"/>
      <c r="L693"/>
      <c r="M693"/>
    </row>
    <row r="694" spans="9:13" x14ac:dyDescent="0.25">
      <c r="I694"/>
      <c r="J694"/>
      <c r="K694"/>
      <c r="L694"/>
      <c r="M694"/>
    </row>
    <row r="695" spans="9:13" x14ac:dyDescent="0.25">
      <c r="I695"/>
      <c r="J695"/>
      <c r="K695"/>
      <c r="L695"/>
      <c r="M695"/>
    </row>
    <row r="696" spans="9:13" x14ac:dyDescent="0.25">
      <c r="I696"/>
      <c r="J696"/>
      <c r="K696"/>
      <c r="L696"/>
      <c r="M696"/>
    </row>
    <row r="697" spans="9:13" x14ac:dyDescent="0.25">
      <c r="I697"/>
      <c r="J697"/>
      <c r="K697"/>
      <c r="L697"/>
      <c r="M697"/>
    </row>
    <row r="698" spans="9:13" x14ac:dyDescent="0.25">
      <c r="I698"/>
      <c r="J698"/>
      <c r="K698"/>
      <c r="L698"/>
      <c r="M698"/>
    </row>
    <row r="699" spans="9:13" x14ac:dyDescent="0.25">
      <c r="I699"/>
      <c r="J699"/>
      <c r="K699"/>
      <c r="L699"/>
      <c r="M699"/>
    </row>
    <row r="700" spans="9:13" x14ac:dyDescent="0.25">
      <c r="I700"/>
      <c r="J700"/>
      <c r="K700"/>
      <c r="L700"/>
      <c r="M700"/>
    </row>
    <row r="701" spans="9:13" x14ac:dyDescent="0.25">
      <c r="I701"/>
      <c r="J701"/>
      <c r="K701"/>
      <c r="L701"/>
      <c r="M701"/>
    </row>
    <row r="702" spans="9:13" x14ac:dyDescent="0.25">
      <c r="I702"/>
      <c r="J702"/>
      <c r="K702"/>
      <c r="L702"/>
      <c r="M702"/>
    </row>
    <row r="703" spans="9:13" x14ac:dyDescent="0.25">
      <c r="I703"/>
      <c r="J703"/>
      <c r="K703"/>
      <c r="L703"/>
      <c r="M703"/>
    </row>
    <row r="704" spans="9:13" x14ac:dyDescent="0.25">
      <c r="I704"/>
      <c r="J704"/>
      <c r="K704"/>
      <c r="L704"/>
      <c r="M704"/>
    </row>
    <row r="705" spans="9:13" x14ac:dyDescent="0.25">
      <c r="I705"/>
      <c r="J705"/>
      <c r="K705"/>
      <c r="L705"/>
      <c r="M705"/>
    </row>
    <row r="706" spans="9:13" x14ac:dyDescent="0.25">
      <c r="I706"/>
      <c r="J706"/>
      <c r="K706"/>
      <c r="L706"/>
      <c r="M706"/>
    </row>
    <row r="707" spans="9:13" x14ac:dyDescent="0.25">
      <c r="I707"/>
      <c r="J707"/>
      <c r="K707"/>
      <c r="L707"/>
      <c r="M707"/>
    </row>
    <row r="708" spans="9:13" x14ac:dyDescent="0.25">
      <c r="I708"/>
      <c r="J708"/>
      <c r="K708"/>
      <c r="L708"/>
      <c r="M708"/>
    </row>
    <row r="709" spans="9:13" x14ac:dyDescent="0.25">
      <c r="I709"/>
      <c r="J709"/>
      <c r="K709"/>
      <c r="L709"/>
      <c r="M709"/>
    </row>
    <row r="710" spans="9:13" x14ac:dyDescent="0.25">
      <c r="I710"/>
      <c r="J710"/>
      <c r="K710"/>
      <c r="L710"/>
      <c r="M710"/>
    </row>
    <row r="711" spans="9:13" x14ac:dyDescent="0.25">
      <c r="I711"/>
      <c r="J711"/>
      <c r="K711"/>
      <c r="L711"/>
      <c r="M711"/>
    </row>
    <row r="712" spans="9:13" x14ac:dyDescent="0.25">
      <c r="I712"/>
      <c r="J712"/>
      <c r="K712"/>
      <c r="L712"/>
      <c r="M712"/>
    </row>
    <row r="713" spans="9:13" x14ac:dyDescent="0.25">
      <c r="I713"/>
      <c r="J713"/>
      <c r="K713"/>
      <c r="L713"/>
      <c r="M713"/>
    </row>
    <row r="714" spans="9:13" x14ac:dyDescent="0.25">
      <c r="I714"/>
      <c r="J714"/>
      <c r="K714"/>
      <c r="L714"/>
      <c r="M714"/>
    </row>
    <row r="715" spans="9:13" x14ac:dyDescent="0.25">
      <c r="I715"/>
      <c r="J715"/>
      <c r="K715"/>
      <c r="L715"/>
      <c r="M715"/>
    </row>
    <row r="716" spans="9:13" x14ac:dyDescent="0.25">
      <c r="I716"/>
      <c r="J716"/>
      <c r="K716"/>
      <c r="L716"/>
      <c r="M716"/>
    </row>
    <row r="717" spans="9:13" x14ac:dyDescent="0.25">
      <c r="I717"/>
      <c r="J717"/>
      <c r="K717"/>
      <c r="L717"/>
      <c r="M717"/>
    </row>
    <row r="718" spans="9:13" x14ac:dyDescent="0.25">
      <c r="I718"/>
      <c r="J718"/>
      <c r="K718"/>
      <c r="L718"/>
      <c r="M718"/>
    </row>
    <row r="719" spans="9:13" x14ac:dyDescent="0.25">
      <c r="I719"/>
      <c r="J719"/>
      <c r="K719"/>
      <c r="L719"/>
      <c r="M719"/>
    </row>
    <row r="720" spans="9:13" x14ac:dyDescent="0.25">
      <c r="I720"/>
      <c r="J720"/>
      <c r="K720"/>
      <c r="L720"/>
      <c r="M720"/>
    </row>
    <row r="721" spans="9:13" x14ac:dyDescent="0.25">
      <c r="I721"/>
      <c r="J721"/>
      <c r="K721"/>
      <c r="L721"/>
      <c r="M721"/>
    </row>
    <row r="722" spans="9:13" x14ac:dyDescent="0.25">
      <c r="I722"/>
      <c r="J722"/>
      <c r="K722"/>
      <c r="L722"/>
      <c r="M722"/>
    </row>
    <row r="723" spans="9:13" x14ac:dyDescent="0.25">
      <c r="I723"/>
      <c r="J723"/>
      <c r="K723"/>
      <c r="L723"/>
      <c r="M723"/>
    </row>
    <row r="724" spans="9:13" x14ac:dyDescent="0.25">
      <c r="I724"/>
      <c r="J724"/>
      <c r="K724"/>
      <c r="L724"/>
      <c r="M724"/>
    </row>
    <row r="725" spans="9:13" x14ac:dyDescent="0.25">
      <c r="I725"/>
      <c r="J725"/>
      <c r="K725"/>
      <c r="L725"/>
      <c r="M725"/>
    </row>
    <row r="726" spans="9:13" x14ac:dyDescent="0.25">
      <c r="I726"/>
      <c r="J726"/>
      <c r="K726"/>
      <c r="L726"/>
      <c r="M726"/>
    </row>
    <row r="727" spans="9:13" x14ac:dyDescent="0.25">
      <c r="I727"/>
      <c r="J727"/>
      <c r="K727"/>
      <c r="L727"/>
      <c r="M727"/>
    </row>
    <row r="728" spans="9:13" x14ac:dyDescent="0.25">
      <c r="I728"/>
      <c r="J728"/>
      <c r="K728"/>
      <c r="L728"/>
      <c r="M728"/>
    </row>
    <row r="729" spans="9:13" x14ac:dyDescent="0.25">
      <c r="I729"/>
      <c r="J729"/>
      <c r="K729"/>
      <c r="L729"/>
      <c r="M729"/>
    </row>
    <row r="730" spans="9:13" x14ac:dyDescent="0.25">
      <c r="I730"/>
      <c r="J730"/>
      <c r="K730"/>
      <c r="L730"/>
      <c r="M730"/>
    </row>
    <row r="731" spans="9:13" x14ac:dyDescent="0.25">
      <c r="I731"/>
      <c r="J731"/>
      <c r="K731"/>
      <c r="L731"/>
      <c r="M731"/>
    </row>
    <row r="732" spans="9:13" x14ac:dyDescent="0.25">
      <c r="I732"/>
      <c r="J732"/>
      <c r="K732"/>
      <c r="L732"/>
      <c r="M732"/>
    </row>
    <row r="733" spans="9:13" x14ac:dyDescent="0.25">
      <c r="I733"/>
      <c r="J733"/>
      <c r="K733"/>
      <c r="L733"/>
      <c r="M733"/>
    </row>
    <row r="734" spans="9:13" x14ac:dyDescent="0.25">
      <c r="I734"/>
      <c r="J734"/>
      <c r="K734"/>
      <c r="L734"/>
      <c r="M734"/>
    </row>
    <row r="735" spans="9:13" x14ac:dyDescent="0.25">
      <c r="I735"/>
      <c r="J735"/>
      <c r="K735"/>
      <c r="L735"/>
      <c r="M735"/>
    </row>
    <row r="736" spans="9:13" x14ac:dyDescent="0.25">
      <c r="I736"/>
      <c r="J736"/>
      <c r="K736"/>
      <c r="L736"/>
      <c r="M736"/>
    </row>
    <row r="737" spans="9:13" x14ac:dyDescent="0.25">
      <c r="I737"/>
      <c r="J737"/>
      <c r="K737"/>
      <c r="L737"/>
      <c r="M737"/>
    </row>
    <row r="738" spans="9:13" x14ac:dyDescent="0.25">
      <c r="I738"/>
      <c r="J738"/>
      <c r="K738"/>
      <c r="L738"/>
      <c r="M738"/>
    </row>
    <row r="739" spans="9:13" x14ac:dyDescent="0.25">
      <c r="I739"/>
      <c r="J739"/>
      <c r="K739"/>
      <c r="L739"/>
      <c r="M739"/>
    </row>
    <row r="740" spans="9:13" x14ac:dyDescent="0.25">
      <c r="I740"/>
      <c r="J740"/>
      <c r="K740"/>
      <c r="L740"/>
      <c r="M740"/>
    </row>
    <row r="741" spans="9:13" x14ac:dyDescent="0.25">
      <c r="I741"/>
      <c r="J741"/>
      <c r="K741"/>
      <c r="L741"/>
      <c r="M741"/>
    </row>
    <row r="742" spans="9:13" x14ac:dyDescent="0.25">
      <c r="I742"/>
      <c r="J742"/>
      <c r="K742"/>
      <c r="L742"/>
      <c r="M742"/>
    </row>
    <row r="743" spans="9:13" x14ac:dyDescent="0.25">
      <c r="I743"/>
      <c r="J743"/>
      <c r="K743"/>
      <c r="L743"/>
      <c r="M743"/>
    </row>
    <row r="744" spans="9:13" x14ac:dyDescent="0.25">
      <c r="I744"/>
      <c r="J744"/>
      <c r="K744"/>
      <c r="L744"/>
      <c r="M744"/>
    </row>
    <row r="745" spans="9:13" x14ac:dyDescent="0.25">
      <c r="I745"/>
      <c r="J745"/>
      <c r="K745"/>
      <c r="L745"/>
      <c r="M745"/>
    </row>
    <row r="746" spans="9:13" x14ac:dyDescent="0.25">
      <c r="I746"/>
      <c r="J746"/>
      <c r="K746"/>
      <c r="L746"/>
      <c r="M746"/>
    </row>
    <row r="747" spans="9:13" x14ac:dyDescent="0.25">
      <c r="I747"/>
      <c r="J747"/>
      <c r="K747"/>
      <c r="L747"/>
      <c r="M747"/>
    </row>
    <row r="748" spans="9:13" x14ac:dyDescent="0.25">
      <c r="I748"/>
      <c r="J748"/>
      <c r="K748"/>
      <c r="L748"/>
      <c r="M748"/>
    </row>
    <row r="749" spans="9:13" x14ac:dyDescent="0.25">
      <c r="I749"/>
      <c r="J749"/>
      <c r="K749"/>
      <c r="L749"/>
      <c r="M749"/>
    </row>
    <row r="750" spans="9:13" x14ac:dyDescent="0.25">
      <c r="I750"/>
      <c r="J750"/>
      <c r="K750"/>
      <c r="L750"/>
      <c r="M750"/>
    </row>
    <row r="751" spans="9:13" x14ac:dyDescent="0.25">
      <c r="I751"/>
      <c r="J751"/>
      <c r="K751"/>
      <c r="L751"/>
      <c r="M751"/>
    </row>
    <row r="752" spans="9:13" x14ac:dyDescent="0.25">
      <c r="I752"/>
      <c r="J752"/>
      <c r="K752"/>
      <c r="L752"/>
      <c r="M752"/>
    </row>
    <row r="753" spans="9:13" x14ac:dyDescent="0.25">
      <c r="I753"/>
      <c r="J753"/>
      <c r="K753"/>
      <c r="L753"/>
      <c r="M753"/>
    </row>
    <row r="754" spans="9:13" x14ac:dyDescent="0.25">
      <c r="I754"/>
      <c r="J754"/>
      <c r="K754"/>
      <c r="L754"/>
      <c r="M754"/>
    </row>
    <row r="755" spans="9:13" x14ac:dyDescent="0.25">
      <c r="I755"/>
      <c r="J755"/>
      <c r="K755"/>
      <c r="L755"/>
      <c r="M755"/>
    </row>
    <row r="756" spans="9:13" x14ac:dyDescent="0.25">
      <c r="I756"/>
      <c r="J756"/>
      <c r="K756"/>
      <c r="L756"/>
      <c r="M756"/>
    </row>
    <row r="757" spans="9:13" x14ac:dyDescent="0.25">
      <c r="I757"/>
      <c r="J757"/>
      <c r="K757"/>
      <c r="L757"/>
      <c r="M757"/>
    </row>
    <row r="758" spans="9:13" x14ac:dyDescent="0.25">
      <c r="I758"/>
      <c r="J758"/>
      <c r="K758"/>
      <c r="L758"/>
      <c r="M758"/>
    </row>
    <row r="759" spans="9:13" x14ac:dyDescent="0.25">
      <c r="I759"/>
      <c r="J759"/>
      <c r="K759"/>
      <c r="L759"/>
      <c r="M759"/>
    </row>
    <row r="760" spans="9:13" x14ac:dyDescent="0.25">
      <c r="I760"/>
      <c r="J760"/>
      <c r="K760"/>
      <c r="L760"/>
      <c r="M760"/>
    </row>
    <row r="761" spans="9:13" x14ac:dyDescent="0.25">
      <c r="I761"/>
      <c r="J761"/>
      <c r="K761"/>
      <c r="L761"/>
      <c r="M761"/>
    </row>
    <row r="762" spans="9:13" x14ac:dyDescent="0.25">
      <c r="I762"/>
      <c r="J762"/>
      <c r="K762"/>
      <c r="L762"/>
      <c r="M762"/>
    </row>
    <row r="763" spans="9:13" x14ac:dyDescent="0.25">
      <c r="I763"/>
      <c r="J763"/>
      <c r="K763"/>
      <c r="L763"/>
      <c r="M763"/>
    </row>
    <row r="764" spans="9:13" x14ac:dyDescent="0.25">
      <c r="I764"/>
      <c r="J764"/>
      <c r="K764"/>
      <c r="L764"/>
      <c r="M764"/>
    </row>
    <row r="765" spans="9:13" x14ac:dyDescent="0.25">
      <c r="I765"/>
      <c r="J765"/>
      <c r="K765"/>
      <c r="L765"/>
      <c r="M765"/>
    </row>
    <row r="766" spans="9:13" x14ac:dyDescent="0.25">
      <c r="I766"/>
      <c r="J766"/>
      <c r="K766"/>
      <c r="L766"/>
      <c r="M766"/>
    </row>
    <row r="767" spans="9:13" x14ac:dyDescent="0.25">
      <c r="I767"/>
      <c r="J767"/>
      <c r="K767"/>
      <c r="L767"/>
      <c r="M767"/>
    </row>
    <row r="768" spans="9:13" x14ac:dyDescent="0.25">
      <c r="I768"/>
      <c r="J768"/>
      <c r="K768"/>
      <c r="L768"/>
      <c r="M768"/>
    </row>
    <row r="769" spans="9:13" x14ac:dyDescent="0.25">
      <c r="I769"/>
      <c r="J769"/>
      <c r="K769"/>
      <c r="L769"/>
      <c r="M769"/>
    </row>
    <row r="770" spans="9:13" x14ac:dyDescent="0.25">
      <c r="I770"/>
      <c r="J770"/>
      <c r="K770"/>
      <c r="L770"/>
      <c r="M770"/>
    </row>
    <row r="771" spans="9:13" x14ac:dyDescent="0.25">
      <c r="I771"/>
      <c r="J771"/>
      <c r="K771"/>
      <c r="L771"/>
      <c r="M771"/>
    </row>
    <row r="772" spans="9:13" x14ac:dyDescent="0.25">
      <c r="I772"/>
      <c r="J772"/>
      <c r="K772"/>
      <c r="L772"/>
      <c r="M772"/>
    </row>
    <row r="773" spans="9:13" x14ac:dyDescent="0.25">
      <c r="I773"/>
      <c r="J773"/>
      <c r="K773"/>
      <c r="L773"/>
      <c r="M773"/>
    </row>
    <row r="774" spans="9:13" x14ac:dyDescent="0.25">
      <c r="I774"/>
      <c r="J774"/>
      <c r="K774"/>
      <c r="L774"/>
      <c r="M774"/>
    </row>
    <row r="775" spans="9:13" x14ac:dyDescent="0.25">
      <c r="I775"/>
      <c r="J775"/>
      <c r="K775"/>
      <c r="L775"/>
      <c r="M775"/>
    </row>
    <row r="776" spans="9:13" x14ac:dyDescent="0.25">
      <c r="I776"/>
      <c r="J776"/>
      <c r="K776"/>
      <c r="L776"/>
      <c r="M776"/>
    </row>
    <row r="777" spans="9:13" x14ac:dyDescent="0.25">
      <c r="I777"/>
      <c r="J777"/>
      <c r="K777"/>
      <c r="L777"/>
      <c r="M777"/>
    </row>
    <row r="778" spans="9:13" x14ac:dyDescent="0.25">
      <c r="I778"/>
      <c r="J778"/>
      <c r="K778"/>
      <c r="L778"/>
      <c r="M778"/>
    </row>
    <row r="779" spans="9:13" x14ac:dyDescent="0.25">
      <c r="I779"/>
      <c r="J779"/>
      <c r="K779"/>
      <c r="L779"/>
      <c r="M779"/>
    </row>
    <row r="780" spans="9:13" x14ac:dyDescent="0.25">
      <c r="I780"/>
      <c r="J780"/>
      <c r="K780"/>
      <c r="L780"/>
      <c r="M780"/>
    </row>
    <row r="781" spans="9:13" x14ac:dyDescent="0.25">
      <c r="I781"/>
      <c r="J781"/>
      <c r="K781"/>
      <c r="L781"/>
      <c r="M781"/>
    </row>
    <row r="782" spans="9:13" x14ac:dyDescent="0.25">
      <c r="I782"/>
      <c r="J782"/>
      <c r="K782"/>
      <c r="L782"/>
      <c r="M782"/>
    </row>
    <row r="783" spans="9:13" x14ac:dyDescent="0.25">
      <c r="I783"/>
      <c r="J783"/>
      <c r="K783"/>
      <c r="L783"/>
      <c r="M783"/>
    </row>
    <row r="784" spans="9:13" x14ac:dyDescent="0.25">
      <c r="I784"/>
      <c r="J784"/>
      <c r="K784"/>
      <c r="L784"/>
      <c r="M784"/>
    </row>
    <row r="785" spans="9:13" x14ac:dyDescent="0.25">
      <c r="I785"/>
      <c r="J785"/>
      <c r="K785"/>
      <c r="L785"/>
      <c r="M785"/>
    </row>
    <row r="786" spans="9:13" x14ac:dyDescent="0.25">
      <c r="I786"/>
      <c r="J786"/>
      <c r="K786"/>
      <c r="L786"/>
      <c r="M786"/>
    </row>
    <row r="787" spans="9:13" x14ac:dyDescent="0.25">
      <c r="I787"/>
      <c r="J787"/>
      <c r="K787"/>
      <c r="L787"/>
      <c r="M787"/>
    </row>
    <row r="788" spans="9:13" x14ac:dyDescent="0.25">
      <c r="I788"/>
      <c r="J788"/>
      <c r="K788"/>
      <c r="L788"/>
      <c r="M788"/>
    </row>
    <row r="789" spans="9:13" x14ac:dyDescent="0.25">
      <c r="I789"/>
      <c r="J789"/>
      <c r="K789"/>
      <c r="L789"/>
      <c r="M789"/>
    </row>
    <row r="790" spans="9:13" x14ac:dyDescent="0.25">
      <c r="I790"/>
      <c r="J790"/>
      <c r="K790"/>
      <c r="L790"/>
      <c r="M790"/>
    </row>
    <row r="791" spans="9:13" x14ac:dyDescent="0.25">
      <c r="I791"/>
      <c r="J791"/>
      <c r="K791"/>
      <c r="L791"/>
      <c r="M791"/>
    </row>
    <row r="792" spans="9:13" x14ac:dyDescent="0.25">
      <c r="I792"/>
      <c r="J792"/>
      <c r="K792"/>
      <c r="L792"/>
      <c r="M792"/>
    </row>
    <row r="793" spans="9:13" x14ac:dyDescent="0.25">
      <c r="I793"/>
      <c r="J793"/>
      <c r="K793"/>
      <c r="L793"/>
      <c r="M793"/>
    </row>
    <row r="794" spans="9:13" x14ac:dyDescent="0.25">
      <c r="I794"/>
      <c r="J794"/>
      <c r="K794"/>
      <c r="L794"/>
      <c r="M794"/>
    </row>
    <row r="795" spans="9:13" x14ac:dyDescent="0.25">
      <c r="I795"/>
      <c r="J795"/>
      <c r="K795"/>
      <c r="L795"/>
      <c r="M795"/>
    </row>
    <row r="796" spans="9:13" x14ac:dyDescent="0.25">
      <c r="I796"/>
      <c r="J796"/>
      <c r="K796"/>
      <c r="L796"/>
      <c r="M796"/>
    </row>
    <row r="797" spans="9:13" x14ac:dyDescent="0.25">
      <c r="I797"/>
      <c r="J797"/>
      <c r="K797"/>
      <c r="L797"/>
      <c r="M797"/>
    </row>
    <row r="798" spans="9:13" x14ac:dyDescent="0.25">
      <c r="I798"/>
      <c r="J798"/>
      <c r="K798"/>
      <c r="L798"/>
      <c r="M798"/>
    </row>
    <row r="799" spans="9:13" x14ac:dyDescent="0.25">
      <c r="I799"/>
      <c r="J799"/>
      <c r="K799"/>
      <c r="L799"/>
      <c r="M799"/>
    </row>
    <row r="800" spans="9:13" x14ac:dyDescent="0.25">
      <c r="I800"/>
      <c r="J800"/>
      <c r="K800"/>
      <c r="L800"/>
      <c r="M800"/>
    </row>
    <row r="801" spans="9:13" x14ac:dyDescent="0.25">
      <c r="I801"/>
      <c r="J801"/>
      <c r="K801"/>
      <c r="L801"/>
      <c r="M801"/>
    </row>
    <row r="802" spans="9:13" x14ac:dyDescent="0.25">
      <c r="I802"/>
      <c r="J802"/>
      <c r="K802"/>
      <c r="L802"/>
      <c r="M802"/>
    </row>
    <row r="803" spans="9:13" x14ac:dyDescent="0.25">
      <c r="I803"/>
      <c r="J803"/>
      <c r="K803"/>
      <c r="L803"/>
      <c r="M803"/>
    </row>
    <row r="804" spans="9:13" x14ac:dyDescent="0.25">
      <c r="I804"/>
      <c r="J804"/>
      <c r="K804"/>
      <c r="L804"/>
      <c r="M804"/>
    </row>
    <row r="805" spans="9:13" x14ac:dyDescent="0.25">
      <c r="I805"/>
      <c r="J805"/>
      <c r="K805"/>
      <c r="L805"/>
      <c r="M805"/>
    </row>
    <row r="806" spans="9:13" x14ac:dyDescent="0.25">
      <c r="I806"/>
      <c r="J806"/>
      <c r="K806"/>
      <c r="L806"/>
      <c r="M806"/>
    </row>
    <row r="807" spans="9:13" x14ac:dyDescent="0.25">
      <c r="I807"/>
      <c r="J807"/>
      <c r="K807"/>
      <c r="L807"/>
      <c r="M807"/>
    </row>
    <row r="808" spans="9:13" x14ac:dyDescent="0.25">
      <c r="I808"/>
      <c r="J808"/>
      <c r="K808"/>
      <c r="L808"/>
      <c r="M808"/>
    </row>
    <row r="809" spans="9:13" x14ac:dyDescent="0.25">
      <c r="I809"/>
      <c r="J809"/>
      <c r="K809"/>
      <c r="L809"/>
      <c r="M809"/>
    </row>
    <row r="810" spans="9:13" x14ac:dyDescent="0.25">
      <c r="I810"/>
      <c r="J810"/>
      <c r="K810"/>
      <c r="L810"/>
      <c r="M810"/>
    </row>
    <row r="811" spans="9:13" x14ac:dyDescent="0.25">
      <c r="I811"/>
      <c r="J811"/>
      <c r="K811"/>
      <c r="L811"/>
      <c r="M811"/>
    </row>
    <row r="812" spans="9:13" x14ac:dyDescent="0.25">
      <c r="I812"/>
      <c r="J812"/>
      <c r="K812"/>
      <c r="L812"/>
      <c r="M812"/>
    </row>
    <row r="813" spans="9:13" x14ac:dyDescent="0.25">
      <c r="I813"/>
      <c r="J813"/>
      <c r="K813"/>
      <c r="L813"/>
      <c r="M813"/>
    </row>
    <row r="814" spans="9:13" x14ac:dyDescent="0.25">
      <c r="I814"/>
      <c r="J814"/>
      <c r="K814"/>
      <c r="L814"/>
      <c r="M814"/>
    </row>
    <row r="815" spans="9:13" x14ac:dyDescent="0.25">
      <c r="I815"/>
      <c r="J815"/>
      <c r="K815"/>
      <c r="L815"/>
      <c r="M815"/>
    </row>
    <row r="816" spans="9:13" x14ac:dyDescent="0.25">
      <c r="I816"/>
      <c r="J816"/>
      <c r="K816"/>
      <c r="L816"/>
      <c r="M816"/>
    </row>
    <row r="817" spans="9:13" x14ac:dyDescent="0.25">
      <c r="I817"/>
      <c r="J817"/>
      <c r="K817"/>
      <c r="L817"/>
      <c r="M817"/>
    </row>
    <row r="818" spans="9:13" x14ac:dyDescent="0.25">
      <c r="I818"/>
      <c r="J818"/>
      <c r="K818"/>
      <c r="L818"/>
      <c r="M818"/>
    </row>
    <row r="819" spans="9:13" x14ac:dyDescent="0.25">
      <c r="I819"/>
      <c r="J819"/>
      <c r="K819"/>
      <c r="L819"/>
      <c r="M819"/>
    </row>
    <row r="820" spans="9:13" x14ac:dyDescent="0.25">
      <c r="I820"/>
      <c r="J820"/>
      <c r="K820"/>
      <c r="L820"/>
      <c r="M820"/>
    </row>
    <row r="821" spans="9:13" x14ac:dyDescent="0.25">
      <c r="I821"/>
      <c r="J821"/>
      <c r="K821"/>
      <c r="L821"/>
      <c r="M821"/>
    </row>
    <row r="822" spans="9:13" x14ac:dyDescent="0.25">
      <c r="I822"/>
      <c r="J822"/>
      <c r="K822"/>
      <c r="L822"/>
      <c r="M822"/>
    </row>
    <row r="823" spans="9:13" x14ac:dyDescent="0.25">
      <c r="I823"/>
      <c r="J823"/>
      <c r="K823"/>
      <c r="L823"/>
      <c r="M823"/>
    </row>
    <row r="824" spans="9:13" x14ac:dyDescent="0.25">
      <c r="I824"/>
      <c r="J824"/>
      <c r="K824"/>
      <c r="L824"/>
      <c r="M824"/>
    </row>
    <row r="825" spans="9:13" x14ac:dyDescent="0.25">
      <c r="I825"/>
      <c r="J825"/>
      <c r="K825"/>
      <c r="L825"/>
      <c r="M825"/>
    </row>
    <row r="826" spans="9:13" x14ac:dyDescent="0.25">
      <c r="I826"/>
      <c r="J826"/>
      <c r="K826"/>
      <c r="L826"/>
      <c r="M826"/>
    </row>
    <row r="827" spans="9:13" x14ac:dyDescent="0.25">
      <c r="I827"/>
      <c r="J827"/>
      <c r="K827"/>
      <c r="L827"/>
      <c r="M827"/>
    </row>
    <row r="828" spans="9:13" x14ac:dyDescent="0.25">
      <c r="I828"/>
      <c r="J828"/>
      <c r="K828"/>
      <c r="L828"/>
      <c r="M828"/>
    </row>
    <row r="829" spans="9:13" x14ac:dyDescent="0.25">
      <c r="I829"/>
      <c r="J829"/>
      <c r="K829"/>
      <c r="L829"/>
      <c r="M829"/>
    </row>
    <row r="830" spans="9:13" x14ac:dyDescent="0.25">
      <c r="I830"/>
      <c r="J830"/>
      <c r="K830"/>
      <c r="L830"/>
      <c r="M830"/>
    </row>
    <row r="831" spans="9:13" x14ac:dyDescent="0.25">
      <c r="I831"/>
      <c r="J831"/>
      <c r="K831"/>
      <c r="L831"/>
      <c r="M831"/>
    </row>
    <row r="832" spans="9:13" x14ac:dyDescent="0.25">
      <c r="I832"/>
      <c r="J832"/>
      <c r="K832"/>
      <c r="L832"/>
      <c r="M832"/>
    </row>
    <row r="833" spans="9:13" x14ac:dyDescent="0.25">
      <c r="I833"/>
      <c r="J833"/>
      <c r="K833"/>
      <c r="L833"/>
      <c r="M833"/>
    </row>
    <row r="834" spans="9:13" x14ac:dyDescent="0.25">
      <c r="I834"/>
      <c r="J834"/>
      <c r="K834"/>
      <c r="L834"/>
      <c r="M834"/>
    </row>
    <row r="835" spans="9:13" x14ac:dyDescent="0.25">
      <c r="I835"/>
      <c r="J835"/>
      <c r="K835"/>
      <c r="L835"/>
      <c r="M835"/>
    </row>
    <row r="836" spans="9:13" x14ac:dyDescent="0.25">
      <c r="I836"/>
      <c r="J836"/>
      <c r="K836"/>
      <c r="L836"/>
      <c r="M836"/>
    </row>
    <row r="837" spans="9:13" x14ac:dyDescent="0.25">
      <c r="I837"/>
      <c r="J837"/>
      <c r="K837"/>
      <c r="L837"/>
      <c r="M837"/>
    </row>
    <row r="838" spans="9:13" x14ac:dyDescent="0.25">
      <c r="I838"/>
      <c r="J838"/>
      <c r="K838"/>
      <c r="L838"/>
      <c r="M838"/>
    </row>
    <row r="839" spans="9:13" x14ac:dyDescent="0.25">
      <c r="I839"/>
      <c r="J839"/>
      <c r="K839"/>
      <c r="L839"/>
      <c r="M839"/>
    </row>
    <row r="840" spans="9:13" x14ac:dyDescent="0.25">
      <c r="I840"/>
      <c r="J840"/>
      <c r="K840"/>
      <c r="L840"/>
      <c r="M840"/>
    </row>
    <row r="841" spans="9:13" x14ac:dyDescent="0.25">
      <c r="I841"/>
      <c r="J841"/>
      <c r="K841"/>
      <c r="L841"/>
      <c r="M841"/>
    </row>
    <row r="842" spans="9:13" x14ac:dyDescent="0.25">
      <c r="I842"/>
      <c r="J842"/>
      <c r="K842"/>
      <c r="L842"/>
      <c r="M842"/>
    </row>
    <row r="843" spans="9:13" x14ac:dyDescent="0.25">
      <c r="I843"/>
      <c r="J843"/>
      <c r="K843"/>
      <c r="L843"/>
      <c r="M843"/>
    </row>
    <row r="844" spans="9:13" x14ac:dyDescent="0.25">
      <c r="I844"/>
      <c r="J844"/>
      <c r="K844"/>
      <c r="L844"/>
      <c r="M844"/>
    </row>
    <row r="845" spans="9:13" x14ac:dyDescent="0.25">
      <c r="I845"/>
      <c r="J845"/>
      <c r="K845"/>
      <c r="L845"/>
      <c r="M845"/>
    </row>
    <row r="846" spans="9:13" x14ac:dyDescent="0.25">
      <c r="I846"/>
      <c r="J846"/>
      <c r="K846"/>
      <c r="L846"/>
      <c r="M846"/>
    </row>
    <row r="847" spans="9:13" x14ac:dyDescent="0.25">
      <c r="I847"/>
      <c r="J847"/>
      <c r="K847"/>
      <c r="L847"/>
      <c r="M847"/>
    </row>
    <row r="848" spans="9:13" x14ac:dyDescent="0.25">
      <c r="I848"/>
      <c r="J848"/>
      <c r="K848"/>
      <c r="L848"/>
      <c r="M848"/>
    </row>
    <row r="849" spans="9:13" x14ac:dyDescent="0.25">
      <c r="I849"/>
      <c r="J849"/>
      <c r="K849"/>
      <c r="L849"/>
      <c r="M849"/>
    </row>
    <row r="850" spans="9:13" x14ac:dyDescent="0.25">
      <c r="I850"/>
      <c r="J850"/>
      <c r="K850"/>
      <c r="L850"/>
      <c r="M850"/>
    </row>
    <row r="851" spans="9:13" x14ac:dyDescent="0.25">
      <c r="I851"/>
      <c r="J851"/>
      <c r="K851"/>
      <c r="L851"/>
      <c r="M851"/>
    </row>
    <row r="852" spans="9:13" x14ac:dyDescent="0.25">
      <c r="I852"/>
      <c r="J852"/>
      <c r="K852"/>
      <c r="L852"/>
      <c r="M852"/>
    </row>
    <row r="853" spans="9:13" x14ac:dyDescent="0.25">
      <c r="I853"/>
      <c r="J853"/>
      <c r="K853"/>
      <c r="L853"/>
      <c r="M853"/>
    </row>
    <row r="854" spans="9:13" x14ac:dyDescent="0.25">
      <c r="I854"/>
      <c r="J854"/>
      <c r="K854"/>
      <c r="L854"/>
      <c r="M854"/>
    </row>
    <row r="855" spans="9:13" x14ac:dyDescent="0.25">
      <c r="I855"/>
      <c r="J855"/>
      <c r="K855"/>
      <c r="L855"/>
      <c r="M855"/>
    </row>
    <row r="856" spans="9:13" x14ac:dyDescent="0.25">
      <c r="I856"/>
      <c r="J856"/>
      <c r="K856"/>
      <c r="L856"/>
      <c r="M856"/>
    </row>
    <row r="857" spans="9:13" x14ac:dyDescent="0.25">
      <c r="I857"/>
      <c r="J857"/>
      <c r="K857"/>
      <c r="L857"/>
      <c r="M857"/>
    </row>
    <row r="858" spans="9:13" x14ac:dyDescent="0.25">
      <c r="I858"/>
      <c r="J858"/>
      <c r="K858"/>
      <c r="L858"/>
      <c r="M858"/>
    </row>
    <row r="859" spans="9:13" x14ac:dyDescent="0.25">
      <c r="I859"/>
      <c r="J859"/>
      <c r="K859"/>
      <c r="L859"/>
      <c r="M859"/>
    </row>
    <row r="860" spans="9:13" x14ac:dyDescent="0.25">
      <c r="I860"/>
      <c r="J860"/>
      <c r="K860"/>
      <c r="L860"/>
      <c r="M860"/>
    </row>
    <row r="861" spans="9:13" x14ac:dyDescent="0.25">
      <c r="I861"/>
      <c r="J861"/>
      <c r="K861"/>
      <c r="L861"/>
      <c r="M861"/>
    </row>
    <row r="862" spans="9:13" x14ac:dyDescent="0.25">
      <c r="I862"/>
      <c r="J862"/>
      <c r="K862"/>
      <c r="L862"/>
      <c r="M862"/>
    </row>
    <row r="863" spans="9:13" x14ac:dyDescent="0.25">
      <c r="I863"/>
      <c r="J863"/>
      <c r="K863"/>
      <c r="L863"/>
      <c r="M863"/>
    </row>
    <row r="864" spans="9:13" x14ac:dyDescent="0.25">
      <c r="I864"/>
      <c r="J864"/>
      <c r="K864"/>
      <c r="L864"/>
      <c r="M864"/>
    </row>
    <row r="865" spans="9:13" x14ac:dyDescent="0.25">
      <c r="I865"/>
      <c r="J865"/>
      <c r="K865"/>
      <c r="L865"/>
      <c r="M865"/>
    </row>
    <row r="866" spans="9:13" x14ac:dyDescent="0.25">
      <c r="I866"/>
      <c r="J866"/>
      <c r="K866"/>
      <c r="L866"/>
      <c r="M866"/>
    </row>
    <row r="867" spans="9:13" x14ac:dyDescent="0.25">
      <c r="I867"/>
      <c r="J867"/>
      <c r="K867"/>
      <c r="L867"/>
      <c r="M867"/>
    </row>
    <row r="868" spans="9:13" x14ac:dyDescent="0.25">
      <c r="I868"/>
      <c r="J868"/>
      <c r="K868"/>
      <c r="L868"/>
      <c r="M868"/>
    </row>
    <row r="869" spans="9:13" x14ac:dyDescent="0.25">
      <c r="I869"/>
      <c r="J869"/>
      <c r="K869"/>
      <c r="L869"/>
      <c r="M869"/>
    </row>
    <row r="870" spans="9:13" x14ac:dyDescent="0.25">
      <c r="I870"/>
      <c r="J870"/>
      <c r="K870"/>
      <c r="L870"/>
      <c r="M870"/>
    </row>
    <row r="871" spans="9:13" x14ac:dyDescent="0.25">
      <c r="I871"/>
      <c r="J871"/>
      <c r="K871"/>
      <c r="L871"/>
      <c r="M871"/>
    </row>
    <row r="872" spans="9:13" x14ac:dyDescent="0.25">
      <c r="I872"/>
      <c r="J872"/>
      <c r="K872"/>
      <c r="L872"/>
      <c r="M872"/>
    </row>
    <row r="873" spans="9:13" x14ac:dyDescent="0.25">
      <c r="I873"/>
      <c r="J873"/>
      <c r="K873"/>
      <c r="L873"/>
      <c r="M873"/>
    </row>
    <row r="874" spans="9:13" x14ac:dyDescent="0.25">
      <c r="I874"/>
      <c r="J874"/>
      <c r="K874"/>
      <c r="L874"/>
      <c r="M874"/>
    </row>
    <row r="875" spans="9:13" x14ac:dyDescent="0.25">
      <c r="I875"/>
      <c r="J875"/>
      <c r="K875"/>
      <c r="L875"/>
      <c r="M875"/>
    </row>
    <row r="876" spans="9:13" x14ac:dyDescent="0.25">
      <c r="I876"/>
      <c r="J876"/>
      <c r="K876"/>
      <c r="L876"/>
      <c r="M876"/>
    </row>
    <row r="877" spans="9:13" x14ac:dyDescent="0.25">
      <c r="I877"/>
      <c r="J877"/>
      <c r="K877"/>
      <c r="L877"/>
      <c r="M877"/>
    </row>
    <row r="878" spans="9:13" x14ac:dyDescent="0.25">
      <c r="I878"/>
      <c r="J878"/>
      <c r="K878"/>
      <c r="L878"/>
      <c r="M878"/>
    </row>
    <row r="879" spans="9:13" x14ac:dyDescent="0.25">
      <c r="I879"/>
      <c r="J879"/>
      <c r="K879"/>
      <c r="L879"/>
      <c r="M879"/>
    </row>
    <row r="880" spans="9:13" x14ac:dyDescent="0.25">
      <c r="I880"/>
      <c r="J880"/>
      <c r="K880"/>
      <c r="L880"/>
      <c r="M880"/>
    </row>
    <row r="881" spans="9:13" x14ac:dyDescent="0.25">
      <c r="I881"/>
      <c r="J881"/>
      <c r="K881"/>
      <c r="L881"/>
      <c r="M881"/>
    </row>
    <row r="882" spans="9:13" x14ac:dyDescent="0.25">
      <c r="I882"/>
      <c r="J882"/>
      <c r="K882"/>
      <c r="L882"/>
      <c r="M882"/>
    </row>
    <row r="883" spans="9:13" x14ac:dyDescent="0.25">
      <c r="I883"/>
      <c r="J883"/>
      <c r="K883"/>
      <c r="L883"/>
      <c r="M883"/>
    </row>
    <row r="884" spans="9:13" x14ac:dyDescent="0.25">
      <c r="I884"/>
      <c r="J884"/>
      <c r="K884"/>
      <c r="L884"/>
      <c r="M884"/>
    </row>
    <row r="885" spans="9:13" x14ac:dyDescent="0.25">
      <c r="I885"/>
      <c r="J885"/>
      <c r="K885"/>
      <c r="L885"/>
      <c r="M885"/>
    </row>
    <row r="886" spans="9:13" x14ac:dyDescent="0.25">
      <c r="I886"/>
      <c r="J886"/>
      <c r="K886"/>
      <c r="L886"/>
      <c r="M886"/>
    </row>
    <row r="887" spans="9:13" x14ac:dyDescent="0.25">
      <c r="I887"/>
      <c r="J887"/>
      <c r="K887"/>
      <c r="L887"/>
      <c r="M887"/>
    </row>
    <row r="888" spans="9:13" x14ac:dyDescent="0.25">
      <c r="I888"/>
      <c r="J888"/>
      <c r="K888"/>
      <c r="L888"/>
      <c r="M888"/>
    </row>
    <row r="889" spans="9:13" x14ac:dyDescent="0.25">
      <c r="I889"/>
      <c r="J889"/>
      <c r="K889"/>
      <c r="L889"/>
      <c r="M889"/>
    </row>
    <row r="890" spans="9:13" x14ac:dyDescent="0.25">
      <c r="I890"/>
      <c r="J890"/>
      <c r="K890"/>
      <c r="L890"/>
      <c r="M890"/>
    </row>
    <row r="891" spans="9:13" x14ac:dyDescent="0.25">
      <c r="I891"/>
      <c r="J891"/>
      <c r="K891"/>
      <c r="L891"/>
      <c r="M891"/>
    </row>
    <row r="892" spans="9:13" x14ac:dyDescent="0.25">
      <c r="I892"/>
      <c r="J892"/>
      <c r="K892"/>
      <c r="L892"/>
      <c r="M892"/>
    </row>
    <row r="893" spans="9:13" x14ac:dyDescent="0.25">
      <c r="I893"/>
      <c r="J893"/>
      <c r="K893"/>
      <c r="L893"/>
      <c r="M893"/>
    </row>
    <row r="894" spans="9:13" x14ac:dyDescent="0.25">
      <c r="I894"/>
      <c r="J894"/>
      <c r="K894"/>
      <c r="L894"/>
      <c r="M894"/>
    </row>
    <row r="895" spans="9:13" x14ac:dyDescent="0.25">
      <c r="I895"/>
      <c r="J895"/>
      <c r="K895"/>
      <c r="L895"/>
      <c r="M895"/>
    </row>
    <row r="896" spans="9:13" x14ac:dyDescent="0.25">
      <c r="I896"/>
      <c r="J896"/>
      <c r="K896"/>
      <c r="L896"/>
      <c r="M896"/>
    </row>
    <row r="897" spans="9:13" x14ac:dyDescent="0.25">
      <c r="I897"/>
      <c r="J897"/>
      <c r="K897"/>
      <c r="L897"/>
      <c r="M897"/>
    </row>
    <row r="898" spans="9:13" x14ac:dyDescent="0.25">
      <c r="I898"/>
      <c r="J898"/>
      <c r="K898"/>
      <c r="L898"/>
      <c r="M898"/>
    </row>
    <row r="899" spans="9:13" x14ac:dyDescent="0.25">
      <c r="I899"/>
      <c r="J899"/>
      <c r="K899"/>
      <c r="L899"/>
      <c r="M899"/>
    </row>
    <row r="900" spans="9:13" x14ac:dyDescent="0.25">
      <c r="I900"/>
      <c r="J900"/>
      <c r="K900"/>
      <c r="L900"/>
      <c r="M900"/>
    </row>
    <row r="901" spans="9:13" x14ac:dyDescent="0.25">
      <c r="I901"/>
      <c r="J901"/>
      <c r="K901"/>
      <c r="L901"/>
      <c r="M901"/>
    </row>
    <row r="902" spans="9:13" x14ac:dyDescent="0.25">
      <c r="I902"/>
      <c r="J902"/>
      <c r="K902"/>
      <c r="L902"/>
      <c r="M902"/>
    </row>
    <row r="903" spans="9:13" x14ac:dyDescent="0.25">
      <c r="I903"/>
      <c r="J903"/>
      <c r="K903"/>
      <c r="L903"/>
      <c r="M903"/>
    </row>
    <row r="904" spans="9:13" x14ac:dyDescent="0.25">
      <c r="I904"/>
      <c r="J904"/>
      <c r="K904"/>
      <c r="L904"/>
      <c r="M904"/>
    </row>
    <row r="905" spans="9:13" x14ac:dyDescent="0.25">
      <c r="I905"/>
      <c r="J905"/>
      <c r="K905"/>
      <c r="L905"/>
      <c r="M905"/>
    </row>
    <row r="906" spans="9:13" x14ac:dyDescent="0.25">
      <c r="I906"/>
      <c r="J906"/>
      <c r="K906"/>
      <c r="L906"/>
      <c r="M906"/>
    </row>
    <row r="907" spans="9:13" x14ac:dyDescent="0.25">
      <c r="I907"/>
      <c r="J907"/>
      <c r="K907"/>
      <c r="L907"/>
      <c r="M907"/>
    </row>
    <row r="908" spans="9:13" x14ac:dyDescent="0.25">
      <c r="I908"/>
      <c r="J908"/>
      <c r="K908"/>
      <c r="L908"/>
      <c r="M908"/>
    </row>
    <row r="909" spans="9:13" x14ac:dyDescent="0.25">
      <c r="I909"/>
      <c r="J909"/>
      <c r="K909"/>
      <c r="L909"/>
      <c r="M909"/>
    </row>
    <row r="910" spans="9:13" x14ac:dyDescent="0.25">
      <c r="I910"/>
      <c r="J910"/>
      <c r="K910"/>
      <c r="L910"/>
      <c r="M910"/>
    </row>
    <row r="911" spans="9:13" x14ac:dyDescent="0.25">
      <c r="I911"/>
      <c r="J911"/>
      <c r="K911"/>
      <c r="L911"/>
      <c r="M911"/>
    </row>
    <row r="912" spans="9:13" x14ac:dyDescent="0.25">
      <c r="I912"/>
      <c r="J912"/>
      <c r="K912"/>
      <c r="L912"/>
      <c r="M912"/>
    </row>
    <row r="913" spans="9:13" x14ac:dyDescent="0.25">
      <c r="I913"/>
      <c r="J913"/>
      <c r="K913"/>
      <c r="L913"/>
      <c r="M913"/>
    </row>
    <row r="914" spans="9:13" x14ac:dyDescent="0.25">
      <c r="I914"/>
      <c r="J914"/>
      <c r="K914"/>
      <c r="L914"/>
      <c r="M914"/>
    </row>
    <row r="915" spans="9:13" x14ac:dyDescent="0.25">
      <c r="I915"/>
      <c r="J915"/>
      <c r="K915"/>
      <c r="L915"/>
      <c r="M915"/>
    </row>
    <row r="916" spans="9:13" x14ac:dyDescent="0.25">
      <c r="I916"/>
      <c r="J916"/>
      <c r="K916"/>
      <c r="L916"/>
      <c r="M916"/>
    </row>
    <row r="917" spans="9:13" x14ac:dyDescent="0.25">
      <c r="I917"/>
      <c r="J917"/>
      <c r="K917"/>
      <c r="L917"/>
      <c r="M917"/>
    </row>
    <row r="918" spans="9:13" x14ac:dyDescent="0.25">
      <c r="I918"/>
      <c r="J918"/>
      <c r="K918"/>
      <c r="L918"/>
      <c r="M918"/>
    </row>
    <row r="919" spans="9:13" x14ac:dyDescent="0.25">
      <c r="I919"/>
      <c r="J919"/>
      <c r="K919"/>
      <c r="L919"/>
      <c r="M919"/>
    </row>
    <row r="920" spans="9:13" x14ac:dyDescent="0.25">
      <c r="I920"/>
      <c r="J920"/>
      <c r="K920"/>
      <c r="L920"/>
      <c r="M920"/>
    </row>
    <row r="921" spans="9:13" x14ac:dyDescent="0.25">
      <c r="I921"/>
      <c r="J921"/>
      <c r="K921"/>
      <c r="L921"/>
      <c r="M921"/>
    </row>
    <row r="922" spans="9:13" x14ac:dyDescent="0.25">
      <c r="I922"/>
      <c r="J922"/>
      <c r="K922"/>
      <c r="L922"/>
      <c r="M922"/>
    </row>
    <row r="923" spans="9:13" x14ac:dyDescent="0.25">
      <c r="I923"/>
      <c r="J923"/>
      <c r="K923"/>
      <c r="L923"/>
      <c r="M923"/>
    </row>
    <row r="924" spans="9:13" x14ac:dyDescent="0.25">
      <c r="I924"/>
      <c r="J924"/>
      <c r="K924"/>
      <c r="L924"/>
      <c r="M924"/>
    </row>
    <row r="925" spans="9:13" x14ac:dyDescent="0.25">
      <c r="I925"/>
      <c r="J925"/>
      <c r="K925"/>
      <c r="L925"/>
      <c r="M925"/>
    </row>
    <row r="926" spans="9:13" x14ac:dyDescent="0.25">
      <c r="I926"/>
      <c r="J926"/>
      <c r="K926"/>
      <c r="L926"/>
      <c r="M926"/>
    </row>
    <row r="927" spans="9:13" x14ac:dyDescent="0.25">
      <c r="I927"/>
      <c r="J927"/>
      <c r="K927"/>
      <c r="L927"/>
      <c r="M927"/>
    </row>
    <row r="928" spans="9:13" x14ac:dyDescent="0.25">
      <c r="I928"/>
      <c r="J928"/>
      <c r="K928"/>
      <c r="L928"/>
      <c r="M928"/>
    </row>
    <row r="929" spans="9:13" x14ac:dyDescent="0.25">
      <c r="I929"/>
      <c r="J929"/>
      <c r="K929"/>
      <c r="L929"/>
      <c r="M929"/>
    </row>
    <row r="930" spans="9:13" x14ac:dyDescent="0.25">
      <c r="I930"/>
      <c r="J930"/>
      <c r="K930"/>
      <c r="L930"/>
      <c r="M930"/>
    </row>
    <row r="931" spans="9:13" x14ac:dyDescent="0.25">
      <c r="I931"/>
      <c r="J931"/>
      <c r="K931"/>
      <c r="L931"/>
      <c r="M931"/>
    </row>
    <row r="932" spans="9:13" x14ac:dyDescent="0.25">
      <c r="I932"/>
      <c r="J932"/>
      <c r="K932"/>
      <c r="L932"/>
      <c r="M932"/>
    </row>
    <row r="933" spans="9:13" x14ac:dyDescent="0.25">
      <c r="I933"/>
      <c r="J933"/>
      <c r="K933"/>
      <c r="L933"/>
      <c r="M933"/>
    </row>
    <row r="934" spans="9:13" x14ac:dyDescent="0.25">
      <c r="I934"/>
      <c r="J934"/>
      <c r="K934"/>
      <c r="L934"/>
      <c r="M934"/>
    </row>
    <row r="935" spans="9:13" x14ac:dyDescent="0.25">
      <c r="I935"/>
      <c r="J935"/>
      <c r="K935"/>
      <c r="L935"/>
      <c r="M935"/>
    </row>
    <row r="936" spans="9:13" x14ac:dyDescent="0.25">
      <c r="I936"/>
      <c r="J936"/>
      <c r="K936"/>
      <c r="L936"/>
      <c r="M936"/>
    </row>
    <row r="937" spans="9:13" x14ac:dyDescent="0.25">
      <c r="I937"/>
      <c r="J937"/>
      <c r="K937"/>
      <c r="L937"/>
      <c r="M937"/>
    </row>
    <row r="938" spans="9:13" x14ac:dyDescent="0.25">
      <c r="I938"/>
      <c r="J938"/>
      <c r="K938"/>
      <c r="L938"/>
      <c r="M938"/>
    </row>
    <row r="939" spans="9:13" x14ac:dyDescent="0.25">
      <c r="I939"/>
      <c r="J939"/>
      <c r="K939"/>
      <c r="L939"/>
      <c r="M939"/>
    </row>
    <row r="940" spans="9:13" x14ac:dyDescent="0.25">
      <c r="I940"/>
      <c r="J940"/>
      <c r="K940"/>
      <c r="L940"/>
      <c r="M940"/>
    </row>
    <row r="941" spans="9:13" x14ac:dyDescent="0.25">
      <c r="I941"/>
      <c r="J941"/>
      <c r="K941"/>
      <c r="L941"/>
      <c r="M941"/>
    </row>
    <row r="942" spans="9:13" x14ac:dyDescent="0.25">
      <c r="I942"/>
      <c r="J942"/>
      <c r="K942"/>
      <c r="L942"/>
      <c r="M942"/>
    </row>
    <row r="943" spans="9:13" x14ac:dyDescent="0.25">
      <c r="I943"/>
      <c r="J943"/>
      <c r="K943"/>
      <c r="L943"/>
      <c r="M943"/>
    </row>
    <row r="944" spans="9:13" x14ac:dyDescent="0.25">
      <c r="I944"/>
      <c r="J944"/>
      <c r="K944"/>
      <c r="L944"/>
      <c r="M944"/>
    </row>
    <row r="945" spans="9:13" x14ac:dyDescent="0.25">
      <c r="I945"/>
      <c r="J945"/>
      <c r="K945"/>
      <c r="L945"/>
      <c r="M945"/>
    </row>
    <row r="946" spans="9:13" x14ac:dyDescent="0.25">
      <c r="I946"/>
      <c r="J946"/>
      <c r="K946"/>
      <c r="L946"/>
      <c r="M946"/>
    </row>
    <row r="947" spans="9:13" x14ac:dyDescent="0.25">
      <c r="I947"/>
      <c r="J947"/>
      <c r="K947"/>
      <c r="L947"/>
      <c r="M947"/>
    </row>
    <row r="948" spans="9:13" x14ac:dyDescent="0.25">
      <c r="I948"/>
      <c r="J948"/>
      <c r="K948"/>
      <c r="L948"/>
      <c r="M948"/>
    </row>
    <row r="949" spans="9:13" x14ac:dyDescent="0.25">
      <c r="I949"/>
      <c r="J949"/>
      <c r="K949"/>
      <c r="L949"/>
      <c r="M949"/>
    </row>
    <row r="950" spans="9:13" x14ac:dyDescent="0.25">
      <c r="I950"/>
      <c r="J950"/>
      <c r="K950"/>
      <c r="L950"/>
      <c r="M950"/>
    </row>
    <row r="951" spans="9:13" x14ac:dyDescent="0.25">
      <c r="I951"/>
      <c r="J951"/>
      <c r="K951"/>
      <c r="L951"/>
      <c r="M951"/>
    </row>
    <row r="952" spans="9:13" x14ac:dyDescent="0.25">
      <c r="I952"/>
      <c r="J952"/>
      <c r="K952"/>
      <c r="L952"/>
      <c r="M952"/>
    </row>
    <row r="953" spans="9:13" x14ac:dyDescent="0.25">
      <c r="I953"/>
      <c r="J953"/>
      <c r="K953"/>
      <c r="L953"/>
      <c r="M953"/>
    </row>
    <row r="954" spans="9:13" x14ac:dyDescent="0.25">
      <c r="I954"/>
      <c r="J954"/>
      <c r="K954"/>
      <c r="L954"/>
      <c r="M954"/>
    </row>
    <row r="955" spans="9:13" x14ac:dyDescent="0.25">
      <c r="I955"/>
      <c r="J955"/>
      <c r="K955"/>
      <c r="L955"/>
      <c r="M955"/>
    </row>
    <row r="956" spans="9:13" x14ac:dyDescent="0.25">
      <c r="I956"/>
      <c r="J956"/>
      <c r="K956"/>
      <c r="L956"/>
      <c r="M956"/>
    </row>
    <row r="957" spans="9:13" x14ac:dyDescent="0.25">
      <c r="I957"/>
      <c r="J957"/>
      <c r="K957"/>
      <c r="L957"/>
      <c r="M957"/>
    </row>
    <row r="958" spans="9:13" x14ac:dyDescent="0.25">
      <c r="I958"/>
      <c r="J958"/>
      <c r="K958"/>
      <c r="L958"/>
      <c r="M958"/>
    </row>
    <row r="959" spans="9:13" x14ac:dyDescent="0.25">
      <c r="I959"/>
      <c r="J959"/>
      <c r="K959"/>
      <c r="L959"/>
      <c r="M959"/>
    </row>
    <row r="960" spans="9:13" x14ac:dyDescent="0.25">
      <c r="I960"/>
      <c r="J960"/>
      <c r="K960"/>
      <c r="L960"/>
      <c r="M960"/>
    </row>
    <row r="961" spans="9:13" x14ac:dyDescent="0.25">
      <c r="I961"/>
      <c r="J961"/>
      <c r="K961"/>
      <c r="L961"/>
      <c r="M961"/>
    </row>
    <row r="962" spans="9:13" x14ac:dyDescent="0.25">
      <c r="I962"/>
      <c r="J962"/>
      <c r="K962"/>
      <c r="L962"/>
      <c r="M962"/>
    </row>
    <row r="963" spans="9:13" x14ac:dyDescent="0.25">
      <c r="I963"/>
      <c r="J963"/>
      <c r="K963"/>
      <c r="L963"/>
      <c r="M963"/>
    </row>
    <row r="964" spans="9:13" x14ac:dyDescent="0.25">
      <c r="I964"/>
      <c r="J964"/>
      <c r="K964"/>
      <c r="L964"/>
      <c r="M964"/>
    </row>
    <row r="965" spans="9:13" x14ac:dyDescent="0.25">
      <c r="I965"/>
      <c r="J965"/>
      <c r="K965"/>
      <c r="L965"/>
      <c r="M965"/>
    </row>
    <row r="966" spans="9:13" x14ac:dyDescent="0.25">
      <c r="I966"/>
      <c r="J966"/>
      <c r="K966"/>
      <c r="L966"/>
      <c r="M966"/>
    </row>
    <row r="967" spans="9:13" x14ac:dyDescent="0.25">
      <c r="I967"/>
      <c r="J967"/>
      <c r="K967"/>
      <c r="L967"/>
      <c r="M967"/>
    </row>
    <row r="968" spans="9:13" x14ac:dyDescent="0.25">
      <c r="I968"/>
      <c r="J968"/>
      <c r="K968"/>
      <c r="L968"/>
      <c r="M968"/>
    </row>
    <row r="969" spans="9:13" x14ac:dyDescent="0.25">
      <c r="I969"/>
      <c r="J969"/>
      <c r="K969"/>
      <c r="L969"/>
      <c r="M969"/>
    </row>
    <row r="970" spans="9:13" x14ac:dyDescent="0.25">
      <c r="I970"/>
      <c r="J970"/>
      <c r="K970"/>
      <c r="L970"/>
      <c r="M970"/>
    </row>
    <row r="971" spans="9:13" x14ac:dyDescent="0.25">
      <c r="I971"/>
      <c r="J971"/>
      <c r="K971"/>
      <c r="L971"/>
      <c r="M971"/>
    </row>
    <row r="972" spans="9:13" x14ac:dyDescent="0.25">
      <c r="I972"/>
      <c r="J972"/>
      <c r="K972"/>
      <c r="L972"/>
      <c r="M972"/>
    </row>
    <row r="973" spans="9:13" x14ac:dyDescent="0.25">
      <c r="I973"/>
      <c r="J973"/>
      <c r="K973"/>
      <c r="L973"/>
      <c r="M973"/>
    </row>
    <row r="974" spans="9:13" x14ac:dyDescent="0.25">
      <c r="I974"/>
      <c r="J974"/>
      <c r="K974"/>
      <c r="L974"/>
      <c r="M974"/>
    </row>
    <row r="975" spans="9:13" x14ac:dyDescent="0.25">
      <c r="I975"/>
      <c r="J975"/>
      <c r="K975"/>
      <c r="L975"/>
      <c r="M975"/>
    </row>
    <row r="976" spans="9:13" x14ac:dyDescent="0.25">
      <c r="I976"/>
      <c r="J976"/>
      <c r="K976"/>
      <c r="L976"/>
      <c r="M976"/>
    </row>
    <row r="977" spans="9:13" x14ac:dyDescent="0.25">
      <c r="I977"/>
      <c r="J977"/>
      <c r="K977"/>
      <c r="L977"/>
      <c r="M977"/>
    </row>
    <row r="978" spans="9:13" x14ac:dyDescent="0.25">
      <c r="I978"/>
      <c r="J978"/>
      <c r="K978"/>
      <c r="L978"/>
      <c r="M978"/>
    </row>
    <row r="979" spans="9:13" x14ac:dyDescent="0.25">
      <c r="I979"/>
      <c r="J979"/>
      <c r="K979"/>
      <c r="L979"/>
      <c r="M979"/>
    </row>
    <row r="980" spans="9:13" x14ac:dyDescent="0.25">
      <c r="I980"/>
      <c r="J980"/>
      <c r="K980"/>
      <c r="L980"/>
      <c r="M980"/>
    </row>
    <row r="981" spans="9:13" x14ac:dyDescent="0.25">
      <c r="I981"/>
      <c r="J981"/>
      <c r="K981"/>
      <c r="L981"/>
      <c r="M981"/>
    </row>
    <row r="982" spans="9:13" x14ac:dyDescent="0.25">
      <c r="I982"/>
      <c r="J982"/>
      <c r="K982"/>
      <c r="L982"/>
      <c r="M982"/>
    </row>
    <row r="983" spans="9:13" x14ac:dyDescent="0.25">
      <c r="I983"/>
      <c r="J983"/>
      <c r="K983"/>
      <c r="L983"/>
      <c r="M983"/>
    </row>
    <row r="984" spans="9:13" x14ac:dyDescent="0.25">
      <c r="I984"/>
      <c r="J984"/>
      <c r="K984"/>
      <c r="L984"/>
      <c r="M984"/>
    </row>
    <row r="985" spans="9:13" x14ac:dyDescent="0.25">
      <c r="I985"/>
      <c r="J985"/>
      <c r="K985"/>
      <c r="L985"/>
      <c r="M985"/>
    </row>
    <row r="986" spans="9:13" x14ac:dyDescent="0.25">
      <c r="I986"/>
      <c r="J986"/>
      <c r="K986"/>
      <c r="L986"/>
      <c r="M986"/>
    </row>
    <row r="987" spans="9:13" x14ac:dyDescent="0.25">
      <c r="I987"/>
      <c r="J987"/>
      <c r="K987"/>
      <c r="L987"/>
      <c r="M987"/>
    </row>
    <row r="988" spans="9:13" x14ac:dyDescent="0.25">
      <c r="I988"/>
      <c r="J988"/>
      <c r="K988"/>
      <c r="L988"/>
      <c r="M988"/>
    </row>
    <row r="989" spans="9:13" x14ac:dyDescent="0.25">
      <c r="I989"/>
      <c r="J989"/>
      <c r="K989"/>
      <c r="L989"/>
      <c r="M989"/>
    </row>
    <row r="990" spans="9:13" x14ac:dyDescent="0.25">
      <c r="I990"/>
      <c r="J990"/>
      <c r="K990"/>
      <c r="L990"/>
      <c r="M990"/>
    </row>
    <row r="991" spans="9:13" x14ac:dyDescent="0.25">
      <c r="I991"/>
      <c r="J991"/>
      <c r="K991"/>
      <c r="L991"/>
      <c r="M991"/>
    </row>
    <row r="992" spans="9:13" x14ac:dyDescent="0.25">
      <c r="I992"/>
      <c r="J992"/>
      <c r="K992"/>
      <c r="L992"/>
      <c r="M992"/>
    </row>
    <row r="993" spans="9:13" x14ac:dyDescent="0.25">
      <c r="I993"/>
      <c r="J993"/>
      <c r="K993"/>
      <c r="L993"/>
      <c r="M993"/>
    </row>
    <row r="994" spans="9:13" x14ac:dyDescent="0.25">
      <c r="I994"/>
      <c r="J994"/>
      <c r="K994"/>
      <c r="L994"/>
      <c r="M994"/>
    </row>
    <row r="995" spans="9:13" x14ac:dyDescent="0.25">
      <c r="I995"/>
      <c r="J995"/>
      <c r="K995"/>
      <c r="L995"/>
      <c r="M995"/>
    </row>
    <row r="996" spans="9:13" x14ac:dyDescent="0.25">
      <c r="I996"/>
      <c r="J996"/>
      <c r="K996"/>
      <c r="L996"/>
      <c r="M996"/>
    </row>
    <row r="997" spans="9:13" x14ac:dyDescent="0.25">
      <c r="I997"/>
      <c r="J997"/>
      <c r="K997"/>
      <c r="L997"/>
      <c r="M997"/>
    </row>
    <row r="998" spans="9:13" x14ac:dyDescent="0.25">
      <c r="I998"/>
      <c r="J998"/>
      <c r="K998"/>
      <c r="L998"/>
      <c r="M998"/>
    </row>
    <row r="999" spans="9:13" x14ac:dyDescent="0.25">
      <c r="I999"/>
      <c r="J999"/>
      <c r="K999"/>
      <c r="L999"/>
      <c r="M999"/>
    </row>
    <row r="1000" spans="9:13" x14ac:dyDescent="0.25">
      <c r="I1000"/>
      <c r="J1000"/>
      <c r="K1000"/>
      <c r="L1000"/>
      <c r="M1000"/>
    </row>
    <row r="1001" spans="9:13" x14ac:dyDescent="0.25">
      <c r="I1001"/>
      <c r="J1001"/>
      <c r="K1001"/>
      <c r="L1001"/>
      <c r="M1001"/>
    </row>
    <row r="1002" spans="9:13" x14ac:dyDescent="0.25">
      <c r="I1002"/>
      <c r="J1002"/>
      <c r="K1002"/>
      <c r="L1002"/>
      <c r="M1002"/>
    </row>
    <row r="1003" spans="9:13" x14ac:dyDescent="0.25">
      <c r="I1003"/>
      <c r="J1003"/>
      <c r="K1003"/>
      <c r="L1003"/>
      <c r="M1003"/>
    </row>
    <row r="1004" spans="9:13" x14ac:dyDescent="0.25">
      <c r="I1004"/>
      <c r="J1004"/>
      <c r="K1004"/>
      <c r="L1004"/>
      <c r="M1004"/>
    </row>
    <row r="1005" spans="9:13" x14ac:dyDescent="0.25">
      <c r="I1005"/>
      <c r="J1005"/>
      <c r="K1005"/>
      <c r="L1005"/>
      <c r="M1005"/>
    </row>
    <row r="1006" spans="9:13" x14ac:dyDescent="0.25">
      <c r="I1006"/>
      <c r="J1006"/>
      <c r="K1006"/>
      <c r="L1006"/>
      <c r="M1006"/>
    </row>
    <row r="1007" spans="9:13" x14ac:dyDescent="0.25">
      <c r="I1007"/>
      <c r="J1007"/>
      <c r="K1007"/>
      <c r="L1007"/>
      <c r="M1007"/>
    </row>
    <row r="1008" spans="9:13" x14ac:dyDescent="0.25">
      <c r="I1008"/>
      <c r="J1008"/>
      <c r="K1008"/>
      <c r="L1008"/>
      <c r="M1008"/>
    </row>
    <row r="1009" spans="9:13" x14ac:dyDescent="0.25">
      <c r="I1009"/>
      <c r="J1009"/>
      <c r="K1009"/>
      <c r="L1009"/>
      <c r="M1009"/>
    </row>
    <row r="1010" spans="9:13" x14ac:dyDescent="0.25">
      <c r="I1010"/>
      <c r="J1010"/>
      <c r="K1010"/>
      <c r="L1010"/>
      <c r="M1010"/>
    </row>
    <row r="1011" spans="9:13" x14ac:dyDescent="0.25">
      <c r="I1011"/>
      <c r="J1011"/>
      <c r="K1011"/>
      <c r="L1011"/>
      <c r="M1011"/>
    </row>
    <row r="1012" spans="9:13" x14ac:dyDescent="0.25">
      <c r="I1012"/>
      <c r="J1012"/>
      <c r="K1012"/>
      <c r="L1012"/>
      <c r="M1012"/>
    </row>
    <row r="1013" spans="9:13" x14ac:dyDescent="0.25">
      <c r="I1013"/>
      <c r="J1013"/>
      <c r="K1013"/>
      <c r="L1013"/>
      <c r="M1013"/>
    </row>
    <row r="1014" spans="9:13" x14ac:dyDescent="0.25">
      <c r="I1014"/>
      <c r="J1014"/>
      <c r="K1014"/>
      <c r="L1014"/>
      <c r="M1014"/>
    </row>
    <row r="1015" spans="9:13" x14ac:dyDescent="0.25">
      <c r="I1015"/>
      <c r="J1015"/>
      <c r="K1015"/>
      <c r="L1015"/>
      <c r="M1015"/>
    </row>
    <row r="1016" spans="9:13" x14ac:dyDescent="0.25">
      <c r="I1016"/>
      <c r="J1016"/>
      <c r="K1016"/>
      <c r="L1016"/>
      <c r="M1016"/>
    </row>
    <row r="1017" spans="9:13" x14ac:dyDescent="0.25">
      <c r="I1017"/>
      <c r="J1017"/>
      <c r="K1017"/>
      <c r="L1017"/>
      <c r="M1017"/>
    </row>
    <row r="1018" spans="9:13" x14ac:dyDescent="0.25">
      <c r="I1018"/>
      <c r="J1018"/>
      <c r="K1018"/>
      <c r="L1018"/>
      <c r="M1018"/>
    </row>
    <row r="1019" spans="9:13" x14ac:dyDescent="0.25">
      <c r="I1019"/>
      <c r="J1019"/>
      <c r="K1019"/>
      <c r="L1019"/>
      <c r="M1019"/>
    </row>
    <row r="1020" spans="9:13" x14ac:dyDescent="0.25">
      <c r="I1020"/>
      <c r="J1020"/>
      <c r="K1020"/>
      <c r="L1020"/>
      <c r="M1020"/>
    </row>
    <row r="1021" spans="9:13" x14ac:dyDescent="0.25">
      <c r="I1021"/>
      <c r="J1021"/>
      <c r="K1021"/>
      <c r="L1021"/>
      <c r="M1021"/>
    </row>
    <row r="1022" spans="9:13" x14ac:dyDescent="0.25">
      <c r="I1022"/>
      <c r="J1022"/>
      <c r="K1022"/>
      <c r="L1022"/>
      <c r="M1022"/>
    </row>
    <row r="1023" spans="9:13" x14ac:dyDescent="0.25">
      <c r="I1023"/>
      <c r="J1023"/>
      <c r="K1023"/>
      <c r="L1023"/>
      <c r="M1023"/>
    </row>
    <row r="1024" spans="9:13" x14ac:dyDescent="0.25">
      <c r="I1024"/>
      <c r="J1024"/>
      <c r="K1024"/>
      <c r="L1024"/>
      <c r="M1024"/>
    </row>
    <row r="1025" spans="9:13" x14ac:dyDescent="0.25">
      <c r="I1025"/>
      <c r="J1025"/>
      <c r="K1025"/>
      <c r="L1025"/>
      <c r="M1025"/>
    </row>
    <row r="1026" spans="9:13" x14ac:dyDescent="0.25">
      <c r="I1026"/>
      <c r="J1026"/>
      <c r="K1026"/>
      <c r="L1026"/>
      <c r="M1026"/>
    </row>
    <row r="1027" spans="9:13" x14ac:dyDescent="0.25">
      <c r="I1027"/>
      <c r="J1027"/>
      <c r="K1027"/>
      <c r="L1027"/>
      <c r="M1027"/>
    </row>
    <row r="1028" spans="9:13" x14ac:dyDescent="0.25">
      <c r="I1028"/>
      <c r="J1028"/>
      <c r="K1028"/>
      <c r="L1028"/>
      <c r="M1028"/>
    </row>
    <row r="1029" spans="9:13" x14ac:dyDescent="0.25">
      <c r="I1029"/>
      <c r="J1029"/>
      <c r="K1029"/>
      <c r="L1029"/>
      <c r="M1029"/>
    </row>
    <row r="1030" spans="9:13" x14ac:dyDescent="0.25">
      <c r="I1030"/>
      <c r="J1030"/>
      <c r="K1030"/>
      <c r="L1030"/>
      <c r="M1030"/>
    </row>
    <row r="1031" spans="9:13" x14ac:dyDescent="0.25">
      <c r="I1031"/>
      <c r="J1031"/>
      <c r="K1031"/>
      <c r="L1031"/>
      <c r="M1031"/>
    </row>
    <row r="1032" spans="9:13" x14ac:dyDescent="0.25">
      <c r="I1032"/>
      <c r="J1032"/>
      <c r="K1032"/>
      <c r="L1032"/>
      <c r="M1032"/>
    </row>
    <row r="1033" spans="9:13" x14ac:dyDescent="0.25">
      <c r="I1033"/>
      <c r="J1033"/>
      <c r="K1033"/>
      <c r="L1033"/>
      <c r="M1033"/>
    </row>
    <row r="1034" spans="9:13" x14ac:dyDescent="0.25">
      <c r="I1034"/>
      <c r="J1034"/>
      <c r="K1034"/>
      <c r="L1034"/>
      <c r="M1034"/>
    </row>
    <row r="1035" spans="9:13" x14ac:dyDescent="0.25">
      <c r="I1035"/>
      <c r="J1035"/>
      <c r="K1035"/>
      <c r="L1035"/>
      <c r="M1035"/>
    </row>
    <row r="1036" spans="9:13" x14ac:dyDescent="0.25">
      <c r="I1036"/>
      <c r="J1036"/>
      <c r="K1036"/>
      <c r="L1036"/>
      <c r="M1036"/>
    </row>
    <row r="1037" spans="9:13" x14ac:dyDescent="0.25">
      <c r="I1037"/>
      <c r="J1037"/>
      <c r="K1037"/>
      <c r="L1037"/>
      <c r="M1037"/>
    </row>
    <row r="1038" spans="9:13" x14ac:dyDescent="0.25">
      <c r="I1038"/>
      <c r="J1038"/>
      <c r="K1038"/>
      <c r="L1038"/>
      <c r="M1038"/>
    </row>
    <row r="1039" spans="9:13" x14ac:dyDescent="0.25">
      <c r="I1039"/>
      <c r="J1039"/>
      <c r="K1039"/>
      <c r="L1039"/>
      <c r="M1039"/>
    </row>
    <row r="1040" spans="9:13" x14ac:dyDescent="0.25">
      <c r="I1040"/>
      <c r="J1040"/>
      <c r="K1040"/>
      <c r="L1040"/>
      <c r="M1040"/>
    </row>
    <row r="1041" spans="9:13" x14ac:dyDescent="0.25">
      <c r="I1041"/>
      <c r="J1041"/>
      <c r="K1041"/>
      <c r="L1041"/>
      <c r="M1041"/>
    </row>
    <row r="1042" spans="9:13" x14ac:dyDescent="0.25">
      <c r="I1042"/>
      <c r="J1042"/>
      <c r="K1042"/>
      <c r="L1042"/>
      <c r="M1042"/>
    </row>
    <row r="1043" spans="9:13" x14ac:dyDescent="0.25">
      <c r="I1043"/>
      <c r="J1043"/>
      <c r="K1043"/>
      <c r="L1043"/>
      <c r="M1043"/>
    </row>
    <row r="1044" spans="9:13" x14ac:dyDescent="0.25">
      <c r="I1044"/>
      <c r="J1044"/>
      <c r="K1044"/>
      <c r="L1044"/>
      <c r="M1044"/>
    </row>
    <row r="1045" spans="9:13" x14ac:dyDescent="0.25">
      <c r="I1045"/>
      <c r="J1045"/>
      <c r="K1045"/>
      <c r="L1045"/>
      <c r="M1045"/>
    </row>
    <row r="1046" spans="9:13" x14ac:dyDescent="0.25">
      <c r="I1046"/>
      <c r="J1046"/>
      <c r="K1046"/>
      <c r="L1046"/>
      <c r="M1046"/>
    </row>
    <row r="1047" spans="9:13" x14ac:dyDescent="0.25">
      <c r="I1047"/>
      <c r="J1047"/>
      <c r="K1047"/>
      <c r="L1047"/>
      <c r="M1047"/>
    </row>
    <row r="1048" spans="9:13" x14ac:dyDescent="0.25">
      <c r="I1048"/>
      <c r="J1048"/>
      <c r="K1048"/>
      <c r="L1048"/>
      <c r="M1048"/>
    </row>
    <row r="1049" spans="9:13" x14ac:dyDescent="0.25">
      <c r="I1049"/>
      <c r="J1049"/>
      <c r="K1049"/>
      <c r="L1049"/>
      <c r="M1049"/>
    </row>
    <row r="1050" spans="9:13" x14ac:dyDescent="0.25">
      <c r="I1050"/>
      <c r="J1050"/>
      <c r="K1050"/>
      <c r="L1050"/>
      <c r="M1050"/>
    </row>
    <row r="1051" spans="9:13" x14ac:dyDescent="0.25">
      <c r="I1051"/>
      <c r="J1051"/>
      <c r="K1051"/>
      <c r="L1051"/>
      <c r="M1051"/>
    </row>
    <row r="1052" spans="9:13" x14ac:dyDescent="0.25">
      <c r="I1052"/>
      <c r="J1052"/>
      <c r="K1052"/>
      <c r="L1052"/>
      <c r="M1052"/>
    </row>
    <row r="1053" spans="9:13" x14ac:dyDescent="0.25">
      <c r="I1053"/>
      <c r="J1053"/>
      <c r="K1053"/>
      <c r="L1053"/>
      <c r="M1053"/>
    </row>
    <row r="1054" spans="9:13" x14ac:dyDescent="0.25">
      <c r="I1054"/>
      <c r="J1054"/>
      <c r="K1054"/>
      <c r="L1054"/>
      <c r="M1054"/>
    </row>
    <row r="1055" spans="9:13" x14ac:dyDescent="0.25">
      <c r="I1055"/>
      <c r="J1055"/>
      <c r="K1055"/>
      <c r="L1055"/>
      <c r="M1055"/>
    </row>
    <row r="1056" spans="9:13" x14ac:dyDescent="0.25">
      <c r="I1056"/>
      <c r="J1056"/>
      <c r="K1056"/>
      <c r="L1056"/>
      <c r="M1056"/>
    </row>
    <row r="1057" spans="9:13" x14ac:dyDescent="0.25">
      <c r="I1057"/>
      <c r="J1057"/>
      <c r="K1057"/>
      <c r="L1057"/>
      <c r="M1057"/>
    </row>
    <row r="1058" spans="9:13" x14ac:dyDescent="0.25">
      <c r="I1058"/>
      <c r="J1058"/>
      <c r="K1058"/>
      <c r="L1058"/>
      <c r="M1058"/>
    </row>
    <row r="1059" spans="9:13" x14ac:dyDescent="0.25">
      <c r="I1059"/>
      <c r="J1059"/>
      <c r="K1059"/>
      <c r="L1059"/>
      <c r="M1059"/>
    </row>
    <row r="1060" spans="9:13" x14ac:dyDescent="0.25">
      <c r="I1060"/>
      <c r="J1060"/>
      <c r="K1060"/>
      <c r="L1060"/>
      <c r="M1060"/>
    </row>
    <row r="1061" spans="9:13" x14ac:dyDescent="0.25">
      <c r="I1061"/>
      <c r="J1061"/>
      <c r="K1061"/>
      <c r="L1061"/>
      <c r="M1061"/>
    </row>
    <row r="1062" spans="9:13" x14ac:dyDescent="0.25">
      <c r="I1062"/>
      <c r="J1062"/>
      <c r="K1062"/>
      <c r="L1062"/>
      <c r="M1062"/>
    </row>
    <row r="1063" spans="9:13" x14ac:dyDescent="0.25">
      <c r="I1063"/>
      <c r="J1063"/>
      <c r="K1063"/>
      <c r="L1063"/>
      <c r="M1063"/>
    </row>
    <row r="1064" spans="9:13" x14ac:dyDescent="0.25">
      <c r="I1064"/>
      <c r="J1064"/>
      <c r="K1064"/>
      <c r="L1064"/>
      <c r="M1064"/>
    </row>
    <row r="1065" spans="9:13" x14ac:dyDescent="0.25">
      <c r="I1065"/>
      <c r="J1065"/>
      <c r="K1065"/>
      <c r="L1065"/>
      <c r="M1065"/>
    </row>
    <row r="1066" spans="9:13" x14ac:dyDescent="0.25">
      <c r="I1066"/>
      <c r="J1066"/>
      <c r="K1066"/>
      <c r="L1066"/>
      <c r="M1066"/>
    </row>
    <row r="1067" spans="9:13" x14ac:dyDescent="0.25">
      <c r="I1067"/>
      <c r="J1067"/>
      <c r="K1067"/>
      <c r="L1067"/>
      <c r="M1067"/>
    </row>
    <row r="1068" spans="9:13" x14ac:dyDescent="0.25">
      <c r="I1068"/>
      <c r="J1068"/>
      <c r="K1068"/>
      <c r="L1068"/>
      <c r="M1068"/>
    </row>
    <row r="1069" spans="9:13" x14ac:dyDescent="0.25">
      <c r="I1069"/>
      <c r="J1069"/>
      <c r="K1069"/>
      <c r="L1069"/>
      <c r="M1069"/>
    </row>
    <row r="1070" spans="9:13" x14ac:dyDescent="0.25">
      <c r="I1070"/>
      <c r="J1070"/>
      <c r="K1070"/>
      <c r="L1070"/>
      <c r="M1070"/>
    </row>
    <row r="1071" spans="9:13" x14ac:dyDescent="0.25">
      <c r="I1071"/>
      <c r="J1071"/>
      <c r="K1071"/>
      <c r="L1071"/>
      <c r="M1071"/>
    </row>
    <row r="1072" spans="9:13" x14ac:dyDescent="0.25">
      <c r="I1072"/>
      <c r="J1072"/>
      <c r="K1072"/>
      <c r="L1072"/>
      <c r="M1072"/>
    </row>
    <row r="1073" spans="9:13" x14ac:dyDescent="0.25">
      <c r="I1073"/>
      <c r="J1073"/>
      <c r="K1073"/>
      <c r="L1073"/>
      <c r="M1073"/>
    </row>
    <row r="1074" spans="9:13" x14ac:dyDescent="0.25">
      <c r="I1074"/>
      <c r="J1074"/>
      <c r="K1074"/>
      <c r="L1074"/>
      <c r="M1074"/>
    </row>
    <row r="1075" spans="9:13" x14ac:dyDescent="0.25">
      <c r="I1075"/>
      <c r="J1075"/>
      <c r="K1075"/>
      <c r="L1075"/>
      <c r="M1075"/>
    </row>
    <row r="1076" spans="9:13" x14ac:dyDescent="0.25">
      <c r="I1076"/>
      <c r="J1076"/>
      <c r="K1076"/>
      <c r="L1076"/>
      <c r="M1076"/>
    </row>
    <row r="1077" spans="9:13" x14ac:dyDescent="0.25">
      <c r="I1077"/>
      <c r="J1077"/>
      <c r="K1077"/>
      <c r="L1077"/>
      <c r="M1077"/>
    </row>
    <row r="1078" spans="9:13" x14ac:dyDescent="0.25">
      <c r="I1078"/>
      <c r="J1078"/>
      <c r="K1078"/>
      <c r="L1078"/>
      <c r="M1078"/>
    </row>
    <row r="1079" spans="9:13" x14ac:dyDescent="0.25">
      <c r="I1079"/>
      <c r="J1079"/>
      <c r="K1079"/>
      <c r="L1079"/>
      <c r="M1079"/>
    </row>
    <row r="1080" spans="9:13" x14ac:dyDescent="0.25">
      <c r="I1080"/>
      <c r="J1080"/>
      <c r="K1080"/>
      <c r="L1080"/>
      <c r="M1080"/>
    </row>
    <row r="1081" spans="9:13" x14ac:dyDescent="0.25">
      <c r="I1081"/>
      <c r="J1081"/>
      <c r="K1081"/>
      <c r="L1081"/>
      <c r="M1081"/>
    </row>
    <row r="1082" spans="9:13" x14ac:dyDescent="0.25">
      <c r="I1082"/>
      <c r="J1082"/>
      <c r="K1082"/>
      <c r="L1082"/>
      <c r="M1082"/>
    </row>
    <row r="1083" spans="9:13" x14ac:dyDescent="0.25">
      <c r="I1083"/>
      <c r="J1083"/>
      <c r="K1083"/>
      <c r="L1083"/>
      <c r="M1083"/>
    </row>
    <row r="1084" spans="9:13" x14ac:dyDescent="0.25">
      <c r="I1084"/>
      <c r="J1084"/>
      <c r="K1084"/>
      <c r="L1084"/>
      <c r="M1084"/>
    </row>
    <row r="1085" spans="9:13" x14ac:dyDescent="0.25">
      <c r="I1085"/>
      <c r="J1085"/>
      <c r="K1085"/>
      <c r="L1085"/>
      <c r="M1085"/>
    </row>
    <row r="1086" spans="9:13" x14ac:dyDescent="0.25">
      <c r="I1086"/>
      <c r="J1086"/>
      <c r="K1086"/>
      <c r="L1086"/>
      <c r="M1086"/>
    </row>
    <row r="1087" spans="9:13" x14ac:dyDescent="0.25">
      <c r="I1087"/>
      <c r="J1087"/>
      <c r="K1087"/>
      <c r="L1087"/>
      <c r="M1087"/>
    </row>
    <row r="1088" spans="9:13" x14ac:dyDescent="0.25">
      <c r="I1088"/>
      <c r="J1088"/>
      <c r="K1088"/>
      <c r="L1088"/>
      <c r="M1088"/>
    </row>
    <row r="1089" spans="9:13" x14ac:dyDescent="0.25">
      <c r="I1089"/>
      <c r="J1089"/>
      <c r="K1089"/>
      <c r="L1089"/>
      <c r="M1089"/>
    </row>
    <row r="1090" spans="9:13" x14ac:dyDescent="0.25">
      <c r="I1090"/>
      <c r="J1090"/>
      <c r="K1090"/>
      <c r="L1090"/>
      <c r="M1090"/>
    </row>
    <row r="1091" spans="9:13" x14ac:dyDescent="0.25">
      <c r="I1091"/>
      <c r="J1091"/>
      <c r="K1091"/>
      <c r="L1091"/>
      <c r="M1091"/>
    </row>
    <row r="1092" spans="9:13" x14ac:dyDescent="0.25">
      <c r="I1092"/>
      <c r="J1092"/>
      <c r="K1092"/>
      <c r="L1092"/>
      <c r="M1092"/>
    </row>
    <row r="1093" spans="9:13" x14ac:dyDescent="0.25">
      <c r="I1093"/>
      <c r="J1093"/>
      <c r="K1093"/>
      <c r="L1093"/>
      <c r="M1093"/>
    </row>
    <row r="1094" spans="9:13" x14ac:dyDescent="0.25">
      <c r="I1094"/>
      <c r="J1094"/>
      <c r="K1094"/>
      <c r="L1094"/>
      <c r="M1094"/>
    </row>
    <row r="1095" spans="9:13" x14ac:dyDescent="0.25">
      <c r="I1095"/>
      <c r="J1095"/>
      <c r="K1095"/>
      <c r="L1095"/>
      <c r="M1095"/>
    </row>
    <row r="1096" spans="9:13" x14ac:dyDescent="0.25">
      <c r="I1096"/>
      <c r="J1096"/>
      <c r="K1096"/>
      <c r="L1096"/>
      <c r="M1096"/>
    </row>
    <row r="1097" spans="9:13" x14ac:dyDescent="0.25">
      <c r="I1097"/>
      <c r="J1097"/>
      <c r="K1097"/>
      <c r="L1097"/>
      <c r="M1097"/>
    </row>
    <row r="1098" spans="9:13" x14ac:dyDescent="0.25">
      <c r="I1098"/>
      <c r="J1098"/>
      <c r="K1098"/>
      <c r="L1098"/>
      <c r="M1098"/>
    </row>
    <row r="1099" spans="9:13" x14ac:dyDescent="0.25">
      <c r="I1099"/>
      <c r="J1099"/>
      <c r="K1099"/>
      <c r="L1099"/>
      <c r="M1099"/>
    </row>
    <row r="1100" spans="9:13" x14ac:dyDescent="0.25">
      <c r="I1100"/>
      <c r="J1100"/>
      <c r="K1100"/>
      <c r="L1100"/>
      <c r="M1100"/>
    </row>
    <row r="1101" spans="9:13" x14ac:dyDescent="0.25">
      <c r="I1101"/>
      <c r="J1101"/>
      <c r="K1101"/>
      <c r="L1101"/>
      <c r="M1101"/>
    </row>
    <row r="1102" spans="9:13" x14ac:dyDescent="0.25">
      <c r="I1102"/>
      <c r="J1102"/>
      <c r="K1102"/>
      <c r="L1102"/>
      <c r="M1102"/>
    </row>
    <row r="1103" spans="9:13" x14ac:dyDescent="0.25">
      <c r="I1103"/>
      <c r="J1103"/>
      <c r="K1103"/>
      <c r="L1103"/>
      <c r="M1103"/>
    </row>
    <row r="1104" spans="9:13" x14ac:dyDescent="0.25">
      <c r="I1104"/>
      <c r="J1104"/>
      <c r="K1104"/>
      <c r="L1104"/>
      <c r="M1104"/>
    </row>
    <row r="1105" spans="9:13" x14ac:dyDescent="0.25">
      <c r="I1105"/>
      <c r="J1105"/>
      <c r="K1105"/>
      <c r="L1105"/>
      <c r="M1105"/>
    </row>
    <row r="1106" spans="9:13" x14ac:dyDescent="0.25">
      <c r="I1106"/>
      <c r="J1106"/>
      <c r="K1106"/>
      <c r="L1106"/>
      <c r="M1106"/>
    </row>
    <row r="1107" spans="9:13" x14ac:dyDescent="0.25">
      <c r="I1107"/>
      <c r="J1107"/>
      <c r="K1107"/>
      <c r="L1107"/>
      <c r="M1107"/>
    </row>
    <row r="1108" spans="9:13" x14ac:dyDescent="0.25">
      <c r="I1108"/>
      <c r="J1108"/>
      <c r="K1108"/>
      <c r="L1108"/>
      <c r="M1108"/>
    </row>
    <row r="1109" spans="9:13" x14ac:dyDescent="0.25">
      <c r="I1109"/>
      <c r="J1109"/>
      <c r="K1109"/>
      <c r="L1109"/>
      <c r="M1109"/>
    </row>
    <row r="1110" spans="9:13" x14ac:dyDescent="0.25">
      <c r="I1110"/>
      <c r="J1110"/>
      <c r="K1110"/>
      <c r="L1110"/>
      <c r="M1110"/>
    </row>
    <row r="1111" spans="9:13" x14ac:dyDescent="0.25">
      <c r="I1111"/>
      <c r="J1111"/>
      <c r="K1111"/>
      <c r="L1111"/>
      <c r="M1111"/>
    </row>
    <row r="1112" spans="9:13" x14ac:dyDescent="0.25">
      <c r="I1112"/>
      <c r="J1112"/>
      <c r="K1112"/>
      <c r="L1112"/>
      <c r="M1112"/>
    </row>
    <row r="1113" spans="9:13" x14ac:dyDescent="0.25">
      <c r="I1113"/>
      <c r="J1113"/>
      <c r="K1113"/>
      <c r="L1113"/>
      <c r="M1113"/>
    </row>
    <row r="1114" spans="9:13" x14ac:dyDescent="0.25">
      <c r="I1114"/>
      <c r="J1114"/>
      <c r="K1114"/>
      <c r="L1114"/>
      <c r="M1114"/>
    </row>
    <row r="1115" spans="9:13" x14ac:dyDescent="0.25">
      <c r="I1115"/>
      <c r="J1115"/>
      <c r="K1115"/>
      <c r="L1115"/>
      <c r="M1115"/>
    </row>
    <row r="1116" spans="9:13" x14ac:dyDescent="0.25">
      <c r="I1116"/>
      <c r="J1116"/>
      <c r="K1116"/>
      <c r="L1116"/>
      <c r="M1116"/>
    </row>
    <row r="1117" spans="9:13" x14ac:dyDescent="0.25">
      <c r="I1117"/>
      <c r="J1117"/>
      <c r="K1117"/>
      <c r="L1117"/>
      <c r="M1117"/>
    </row>
    <row r="1118" spans="9:13" x14ac:dyDescent="0.25">
      <c r="I1118"/>
      <c r="J1118"/>
      <c r="K1118"/>
      <c r="L1118"/>
      <c r="M1118"/>
    </row>
    <row r="1119" spans="9:13" x14ac:dyDescent="0.25">
      <c r="I1119"/>
      <c r="J1119"/>
      <c r="K1119"/>
      <c r="L1119"/>
      <c r="M1119"/>
    </row>
    <row r="1120" spans="9:13" x14ac:dyDescent="0.25">
      <c r="I1120"/>
      <c r="J1120"/>
      <c r="K1120"/>
      <c r="L1120"/>
      <c r="M1120"/>
    </row>
    <row r="1121" spans="9:13" x14ac:dyDescent="0.25">
      <c r="I1121"/>
      <c r="J1121"/>
      <c r="K1121"/>
      <c r="L1121"/>
      <c r="M1121"/>
    </row>
    <row r="1122" spans="9:13" x14ac:dyDescent="0.25">
      <c r="I1122"/>
      <c r="J1122"/>
      <c r="K1122"/>
      <c r="L1122"/>
      <c r="M1122"/>
    </row>
    <row r="1123" spans="9:13" x14ac:dyDescent="0.25">
      <c r="I1123"/>
      <c r="J1123"/>
      <c r="K1123"/>
      <c r="L1123"/>
      <c r="M1123"/>
    </row>
    <row r="1124" spans="9:13" x14ac:dyDescent="0.25">
      <c r="I1124"/>
      <c r="J1124"/>
      <c r="K1124"/>
      <c r="L1124"/>
      <c r="M1124"/>
    </row>
    <row r="1125" spans="9:13" x14ac:dyDescent="0.25">
      <c r="I1125"/>
      <c r="J1125"/>
      <c r="K1125"/>
      <c r="L1125"/>
      <c r="M1125"/>
    </row>
    <row r="1126" spans="9:13" x14ac:dyDescent="0.25">
      <c r="I1126"/>
      <c r="J1126"/>
      <c r="K1126"/>
      <c r="L1126"/>
      <c r="M1126"/>
    </row>
    <row r="1127" spans="9:13" x14ac:dyDescent="0.25">
      <c r="I1127"/>
      <c r="J1127"/>
      <c r="K1127"/>
      <c r="L1127"/>
      <c r="M1127"/>
    </row>
    <row r="1128" spans="9:13" x14ac:dyDescent="0.25">
      <c r="I1128"/>
      <c r="J1128"/>
      <c r="K1128"/>
      <c r="L1128"/>
      <c r="M1128"/>
    </row>
    <row r="1129" spans="9:13" x14ac:dyDescent="0.25">
      <c r="I1129"/>
      <c r="J1129"/>
      <c r="K1129"/>
      <c r="L1129"/>
      <c r="M1129"/>
    </row>
    <row r="1130" spans="9:13" x14ac:dyDescent="0.25">
      <c r="I1130"/>
      <c r="J1130"/>
      <c r="K1130"/>
      <c r="L1130"/>
      <c r="M1130"/>
    </row>
    <row r="1131" spans="9:13" x14ac:dyDescent="0.25">
      <c r="I1131"/>
      <c r="J1131"/>
      <c r="K1131"/>
      <c r="L1131"/>
      <c r="M1131"/>
    </row>
    <row r="1132" spans="9:13" x14ac:dyDescent="0.25">
      <c r="I1132"/>
      <c r="J1132"/>
      <c r="K1132"/>
      <c r="L1132"/>
      <c r="M1132"/>
    </row>
    <row r="1133" spans="9:13" x14ac:dyDescent="0.25">
      <c r="I1133"/>
      <c r="J1133"/>
      <c r="K1133"/>
      <c r="L1133"/>
      <c r="M1133"/>
    </row>
    <row r="1134" spans="9:13" x14ac:dyDescent="0.25">
      <c r="I1134"/>
      <c r="J1134"/>
      <c r="K1134"/>
      <c r="L1134"/>
      <c r="M1134"/>
    </row>
    <row r="1135" spans="9:13" x14ac:dyDescent="0.25">
      <c r="I1135"/>
      <c r="J1135"/>
      <c r="K1135"/>
      <c r="L1135"/>
      <c r="M1135"/>
    </row>
    <row r="1136" spans="9:13" x14ac:dyDescent="0.25">
      <c r="I1136"/>
      <c r="J1136"/>
      <c r="K1136"/>
      <c r="L1136"/>
      <c r="M1136"/>
    </row>
    <row r="1137" spans="9:13" x14ac:dyDescent="0.25">
      <c r="I1137"/>
      <c r="J1137"/>
      <c r="K1137"/>
      <c r="L1137"/>
      <c r="M1137"/>
    </row>
    <row r="1138" spans="9:13" x14ac:dyDescent="0.25">
      <c r="I1138"/>
      <c r="J1138"/>
      <c r="K1138"/>
      <c r="L1138"/>
      <c r="M1138"/>
    </row>
    <row r="1139" spans="9:13" x14ac:dyDescent="0.25">
      <c r="I1139"/>
      <c r="J1139"/>
      <c r="K1139"/>
      <c r="L1139"/>
      <c r="M1139"/>
    </row>
    <row r="1140" spans="9:13" x14ac:dyDescent="0.25">
      <c r="I1140"/>
      <c r="J1140"/>
      <c r="K1140"/>
      <c r="L1140"/>
      <c r="M1140"/>
    </row>
    <row r="1141" spans="9:13" x14ac:dyDescent="0.25">
      <c r="I1141"/>
      <c r="J1141"/>
      <c r="K1141"/>
      <c r="L1141"/>
      <c r="M1141"/>
    </row>
    <row r="1142" spans="9:13" x14ac:dyDescent="0.25">
      <c r="I1142"/>
      <c r="J1142"/>
      <c r="K1142"/>
      <c r="L1142"/>
      <c r="M1142"/>
    </row>
    <row r="1143" spans="9:13" x14ac:dyDescent="0.25">
      <c r="I1143"/>
      <c r="J1143"/>
      <c r="K1143"/>
      <c r="L1143"/>
      <c r="M1143"/>
    </row>
    <row r="1144" spans="9:13" x14ac:dyDescent="0.25">
      <c r="I1144"/>
      <c r="J1144"/>
      <c r="K1144"/>
      <c r="L1144"/>
      <c r="M1144"/>
    </row>
    <row r="1145" spans="9:13" x14ac:dyDescent="0.25">
      <c r="I1145"/>
      <c r="J1145"/>
      <c r="K1145"/>
      <c r="L1145"/>
      <c r="M1145"/>
    </row>
    <row r="1146" spans="9:13" x14ac:dyDescent="0.25">
      <c r="I1146"/>
      <c r="J1146"/>
      <c r="K1146"/>
      <c r="L1146"/>
      <c r="M1146"/>
    </row>
    <row r="1147" spans="9:13" x14ac:dyDescent="0.25">
      <c r="I1147"/>
      <c r="J1147"/>
      <c r="K1147"/>
      <c r="L1147"/>
      <c r="M1147"/>
    </row>
    <row r="1148" spans="9:13" x14ac:dyDescent="0.25">
      <c r="I1148"/>
      <c r="J1148"/>
      <c r="K1148"/>
      <c r="L1148"/>
      <c r="M1148"/>
    </row>
    <row r="1149" spans="9:13" x14ac:dyDescent="0.25">
      <c r="I1149"/>
      <c r="J1149"/>
      <c r="K1149"/>
      <c r="L1149"/>
      <c r="M1149"/>
    </row>
    <row r="1150" spans="9:13" x14ac:dyDescent="0.25">
      <c r="I1150"/>
      <c r="J1150"/>
      <c r="K1150"/>
      <c r="L1150"/>
      <c r="M1150"/>
    </row>
    <row r="1151" spans="9:13" x14ac:dyDescent="0.25">
      <c r="I1151"/>
      <c r="J1151"/>
      <c r="K1151"/>
      <c r="L1151"/>
      <c r="M1151"/>
    </row>
    <row r="1152" spans="9:13" x14ac:dyDescent="0.25">
      <c r="I1152"/>
      <c r="J1152"/>
      <c r="K1152"/>
      <c r="L1152"/>
      <c r="M1152"/>
    </row>
    <row r="1153" spans="9:13" x14ac:dyDescent="0.25">
      <c r="I1153"/>
      <c r="J1153"/>
      <c r="K1153"/>
      <c r="L1153"/>
      <c r="M1153"/>
    </row>
    <row r="1154" spans="9:13" x14ac:dyDescent="0.25">
      <c r="I1154"/>
      <c r="J1154"/>
      <c r="K1154"/>
      <c r="L1154"/>
      <c r="M1154"/>
    </row>
    <row r="1155" spans="9:13" x14ac:dyDescent="0.25">
      <c r="I1155"/>
      <c r="J1155"/>
      <c r="K1155"/>
      <c r="L1155"/>
      <c r="M1155"/>
    </row>
    <row r="1156" spans="9:13" x14ac:dyDescent="0.25">
      <c r="I1156"/>
      <c r="J1156"/>
      <c r="K1156"/>
      <c r="L1156"/>
      <c r="M1156"/>
    </row>
    <row r="1157" spans="9:13" x14ac:dyDescent="0.25">
      <c r="I1157"/>
      <c r="J1157"/>
      <c r="K1157"/>
      <c r="L1157"/>
      <c r="M1157"/>
    </row>
    <row r="1158" spans="9:13" x14ac:dyDescent="0.25">
      <c r="I1158"/>
      <c r="J1158"/>
      <c r="K1158"/>
      <c r="L1158"/>
      <c r="M1158"/>
    </row>
    <row r="1159" spans="9:13" x14ac:dyDescent="0.25">
      <c r="I1159"/>
      <c r="J1159"/>
      <c r="K1159"/>
      <c r="L1159"/>
      <c r="M1159"/>
    </row>
    <row r="1160" spans="9:13" x14ac:dyDescent="0.25">
      <c r="I1160"/>
      <c r="J1160"/>
      <c r="K1160"/>
      <c r="L1160"/>
      <c r="M1160"/>
    </row>
    <row r="1161" spans="9:13" x14ac:dyDescent="0.25">
      <c r="I1161"/>
      <c r="J1161"/>
      <c r="K1161"/>
      <c r="L1161"/>
      <c r="M1161"/>
    </row>
    <row r="1162" spans="9:13" x14ac:dyDescent="0.25">
      <c r="I1162"/>
      <c r="J1162"/>
      <c r="K1162"/>
      <c r="L1162"/>
      <c r="M1162"/>
    </row>
    <row r="1163" spans="9:13" x14ac:dyDescent="0.25">
      <c r="I1163"/>
      <c r="J1163"/>
      <c r="K1163"/>
      <c r="L1163"/>
      <c r="M1163"/>
    </row>
    <row r="1164" spans="9:13" x14ac:dyDescent="0.25">
      <c r="I1164"/>
      <c r="J1164"/>
      <c r="K1164"/>
      <c r="L1164"/>
      <c r="M1164"/>
    </row>
    <row r="1165" spans="9:13" x14ac:dyDescent="0.25">
      <c r="I1165"/>
      <c r="J1165"/>
      <c r="K1165"/>
      <c r="L1165"/>
      <c r="M1165"/>
    </row>
    <row r="1166" spans="9:13" x14ac:dyDescent="0.25">
      <c r="I1166"/>
      <c r="J1166"/>
      <c r="K1166"/>
      <c r="L1166"/>
      <c r="M1166"/>
    </row>
    <row r="1167" spans="9:13" x14ac:dyDescent="0.25">
      <c r="I1167"/>
      <c r="J1167"/>
      <c r="K1167"/>
      <c r="L1167"/>
      <c r="M1167"/>
    </row>
    <row r="1168" spans="9:13" x14ac:dyDescent="0.25">
      <c r="I1168"/>
      <c r="J1168"/>
      <c r="K1168"/>
      <c r="L1168"/>
      <c r="M1168"/>
    </row>
    <row r="1169" spans="9:13" x14ac:dyDescent="0.25">
      <c r="I1169"/>
      <c r="J1169"/>
      <c r="K1169"/>
      <c r="L1169"/>
      <c r="M1169"/>
    </row>
    <row r="1170" spans="9:13" x14ac:dyDescent="0.25">
      <c r="I1170"/>
      <c r="J1170"/>
      <c r="K1170"/>
      <c r="L1170"/>
      <c r="M1170"/>
    </row>
    <row r="1171" spans="9:13" x14ac:dyDescent="0.25">
      <c r="I1171"/>
      <c r="J1171"/>
      <c r="K1171"/>
      <c r="L1171"/>
      <c r="M1171"/>
    </row>
    <row r="1172" spans="9:13" x14ac:dyDescent="0.25">
      <c r="I1172"/>
      <c r="J1172"/>
      <c r="K1172"/>
      <c r="L1172"/>
      <c r="M1172"/>
    </row>
    <row r="1173" spans="9:13" x14ac:dyDescent="0.25">
      <c r="I1173"/>
      <c r="J1173"/>
      <c r="K1173"/>
      <c r="L1173"/>
      <c r="M1173"/>
    </row>
    <row r="1174" spans="9:13" x14ac:dyDescent="0.25">
      <c r="I1174"/>
      <c r="J1174"/>
      <c r="K1174"/>
      <c r="L1174"/>
      <c r="M1174"/>
    </row>
    <row r="1175" spans="9:13" x14ac:dyDescent="0.25">
      <c r="I1175"/>
      <c r="J1175"/>
      <c r="K1175"/>
      <c r="L1175"/>
      <c r="M1175"/>
    </row>
    <row r="1176" spans="9:13" x14ac:dyDescent="0.25">
      <c r="I1176"/>
      <c r="J1176"/>
      <c r="K1176"/>
      <c r="L1176"/>
      <c r="M1176"/>
    </row>
    <row r="1177" spans="9:13" x14ac:dyDescent="0.25">
      <c r="I1177"/>
      <c r="J1177"/>
      <c r="K1177"/>
      <c r="L1177"/>
      <c r="M1177"/>
    </row>
    <row r="1178" spans="9:13" x14ac:dyDescent="0.25">
      <c r="I1178"/>
      <c r="J1178"/>
      <c r="K1178"/>
      <c r="L1178"/>
      <c r="M1178"/>
    </row>
    <row r="1179" spans="9:13" x14ac:dyDescent="0.25">
      <c r="I1179"/>
      <c r="J1179"/>
      <c r="K1179"/>
      <c r="L1179"/>
      <c r="M1179"/>
    </row>
    <row r="1180" spans="9:13" x14ac:dyDescent="0.25">
      <c r="I1180"/>
      <c r="J1180"/>
      <c r="K1180"/>
      <c r="L1180"/>
      <c r="M1180"/>
    </row>
    <row r="1181" spans="9:13" x14ac:dyDescent="0.25">
      <c r="I1181"/>
      <c r="J1181"/>
      <c r="K1181"/>
      <c r="L1181"/>
      <c r="M1181"/>
    </row>
    <row r="1182" spans="9:13" x14ac:dyDescent="0.25">
      <c r="I1182"/>
      <c r="J1182"/>
      <c r="K1182"/>
      <c r="L1182"/>
      <c r="M1182"/>
    </row>
    <row r="1183" spans="9:13" x14ac:dyDescent="0.25">
      <c r="I1183"/>
      <c r="J1183"/>
      <c r="K1183"/>
      <c r="L1183"/>
      <c r="M1183"/>
    </row>
    <row r="1184" spans="9:13" x14ac:dyDescent="0.25">
      <c r="I1184"/>
      <c r="J1184"/>
      <c r="K1184"/>
      <c r="L1184"/>
      <c r="M1184"/>
    </row>
    <row r="1185" spans="9:13" x14ac:dyDescent="0.25">
      <c r="I1185"/>
      <c r="J1185"/>
      <c r="K1185"/>
      <c r="L1185"/>
      <c r="M1185"/>
    </row>
    <row r="1186" spans="9:13" x14ac:dyDescent="0.25">
      <c r="I1186"/>
      <c r="J1186"/>
      <c r="K1186"/>
      <c r="L1186"/>
      <c r="M1186"/>
    </row>
    <row r="1187" spans="9:13" x14ac:dyDescent="0.25">
      <c r="I1187"/>
      <c r="J1187"/>
      <c r="K1187"/>
      <c r="L1187"/>
      <c r="M1187"/>
    </row>
    <row r="1188" spans="9:13" x14ac:dyDescent="0.25">
      <c r="I1188"/>
      <c r="J1188"/>
      <c r="K1188"/>
      <c r="L1188"/>
      <c r="M1188"/>
    </row>
    <row r="1189" spans="9:13" x14ac:dyDescent="0.25">
      <c r="I1189"/>
      <c r="J1189"/>
      <c r="K1189"/>
      <c r="L1189"/>
      <c r="M1189"/>
    </row>
    <row r="1190" spans="9:13" x14ac:dyDescent="0.25">
      <c r="I1190"/>
      <c r="J1190"/>
      <c r="K1190"/>
      <c r="L1190"/>
      <c r="M1190"/>
    </row>
    <row r="1191" spans="9:13" x14ac:dyDescent="0.25">
      <c r="I1191"/>
      <c r="J1191"/>
      <c r="K1191"/>
      <c r="L1191"/>
      <c r="M1191"/>
    </row>
    <row r="1192" spans="9:13" x14ac:dyDescent="0.25">
      <c r="I1192"/>
      <c r="J1192"/>
      <c r="K1192"/>
      <c r="L1192"/>
      <c r="M1192"/>
    </row>
    <row r="1193" spans="9:13" x14ac:dyDescent="0.25">
      <c r="I1193"/>
      <c r="J1193"/>
      <c r="K1193"/>
      <c r="L1193"/>
      <c r="M1193"/>
    </row>
    <row r="1194" spans="9:13" x14ac:dyDescent="0.25">
      <c r="I1194"/>
      <c r="J1194"/>
      <c r="K1194"/>
      <c r="L1194"/>
      <c r="M1194"/>
    </row>
    <row r="1195" spans="9:13" x14ac:dyDescent="0.25">
      <c r="I1195"/>
      <c r="J1195"/>
      <c r="K1195"/>
      <c r="L1195"/>
      <c r="M1195"/>
    </row>
    <row r="1196" spans="9:13" x14ac:dyDescent="0.25">
      <c r="I1196"/>
      <c r="J1196"/>
      <c r="K1196"/>
      <c r="L1196"/>
      <c r="M1196"/>
    </row>
    <row r="1197" spans="9:13" x14ac:dyDescent="0.25">
      <c r="I1197"/>
      <c r="J1197"/>
      <c r="K1197"/>
      <c r="L1197"/>
      <c r="M1197"/>
    </row>
    <row r="1198" spans="9:13" x14ac:dyDescent="0.25">
      <c r="I1198"/>
      <c r="J1198"/>
      <c r="K1198"/>
      <c r="L1198"/>
      <c r="M1198"/>
    </row>
    <row r="1199" spans="9:13" x14ac:dyDescent="0.25">
      <c r="I1199"/>
      <c r="J1199"/>
      <c r="K1199"/>
      <c r="L1199"/>
      <c r="M1199"/>
    </row>
    <row r="1200" spans="9:13" x14ac:dyDescent="0.25">
      <c r="I1200"/>
      <c r="J1200"/>
      <c r="K1200"/>
      <c r="L1200"/>
      <c r="M1200"/>
    </row>
    <row r="1201" spans="9:13" x14ac:dyDescent="0.25">
      <c r="I1201"/>
      <c r="J1201"/>
      <c r="K1201"/>
      <c r="L1201"/>
      <c r="M1201"/>
    </row>
    <row r="1202" spans="9:13" x14ac:dyDescent="0.25">
      <c r="I1202"/>
      <c r="J1202"/>
      <c r="K1202"/>
      <c r="L1202"/>
      <c r="M1202"/>
    </row>
    <row r="1203" spans="9:13" x14ac:dyDescent="0.25">
      <c r="I1203"/>
      <c r="J1203"/>
      <c r="K1203"/>
      <c r="L1203"/>
      <c r="M1203"/>
    </row>
    <row r="1204" spans="9:13" x14ac:dyDescent="0.25">
      <c r="I1204"/>
      <c r="J1204"/>
      <c r="K1204"/>
      <c r="L1204"/>
      <c r="M1204"/>
    </row>
    <row r="1205" spans="9:13" x14ac:dyDescent="0.25">
      <c r="I1205"/>
      <c r="J1205"/>
      <c r="K1205"/>
      <c r="L1205"/>
      <c r="M1205"/>
    </row>
    <row r="1206" spans="9:13" x14ac:dyDescent="0.25">
      <c r="I1206"/>
      <c r="J1206"/>
      <c r="K1206"/>
      <c r="L1206"/>
      <c r="M1206"/>
    </row>
    <row r="1207" spans="9:13" x14ac:dyDescent="0.25">
      <c r="I1207"/>
      <c r="J1207"/>
      <c r="K1207"/>
      <c r="L1207"/>
      <c r="M1207"/>
    </row>
    <row r="1208" spans="9:13" x14ac:dyDescent="0.25">
      <c r="I1208"/>
      <c r="J1208"/>
      <c r="K1208"/>
      <c r="L1208"/>
      <c r="M1208"/>
    </row>
    <row r="1209" spans="9:13" x14ac:dyDescent="0.25">
      <c r="I1209"/>
      <c r="J1209"/>
      <c r="K1209"/>
      <c r="L1209"/>
      <c r="M1209"/>
    </row>
    <row r="1210" spans="9:13" x14ac:dyDescent="0.25">
      <c r="I1210"/>
      <c r="J1210"/>
      <c r="K1210"/>
      <c r="L1210"/>
      <c r="M1210"/>
    </row>
    <row r="1211" spans="9:13" x14ac:dyDescent="0.25">
      <c r="I1211"/>
      <c r="J1211"/>
      <c r="K1211"/>
      <c r="L1211"/>
      <c r="M1211"/>
    </row>
    <row r="1212" spans="9:13" x14ac:dyDescent="0.25">
      <c r="I1212"/>
      <c r="J1212"/>
      <c r="K1212"/>
      <c r="L1212"/>
      <c r="M1212"/>
    </row>
    <row r="1213" spans="9:13" x14ac:dyDescent="0.25">
      <c r="I1213"/>
      <c r="J1213"/>
      <c r="K1213"/>
      <c r="L1213"/>
      <c r="M1213"/>
    </row>
    <row r="1214" spans="9:13" x14ac:dyDescent="0.25">
      <c r="I1214"/>
      <c r="J1214"/>
      <c r="K1214"/>
      <c r="L1214"/>
      <c r="M1214"/>
    </row>
    <row r="1215" spans="9:13" x14ac:dyDescent="0.25">
      <c r="I1215"/>
      <c r="J1215"/>
      <c r="K1215"/>
      <c r="L1215"/>
      <c r="M1215"/>
    </row>
    <row r="1216" spans="9:13" x14ac:dyDescent="0.25">
      <c r="I1216"/>
      <c r="J1216"/>
      <c r="K1216"/>
      <c r="L1216"/>
      <c r="M1216"/>
    </row>
    <row r="1217" spans="9:13" x14ac:dyDescent="0.25">
      <c r="I1217"/>
      <c r="J1217"/>
      <c r="K1217"/>
      <c r="L1217"/>
      <c r="M1217"/>
    </row>
    <row r="1218" spans="9:13" x14ac:dyDescent="0.25">
      <c r="I1218"/>
      <c r="J1218"/>
      <c r="K1218"/>
      <c r="L1218"/>
      <c r="M1218"/>
    </row>
    <row r="1219" spans="9:13" x14ac:dyDescent="0.25">
      <c r="I1219"/>
      <c r="J1219"/>
      <c r="K1219"/>
      <c r="L1219"/>
      <c r="M1219"/>
    </row>
    <row r="1220" spans="9:13" x14ac:dyDescent="0.25">
      <c r="I1220"/>
      <c r="J1220"/>
      <c r="K1220"/>
      <c r="L1220"/>
      <c r="M1220"/>
    </row>
    <row r="1221" spans="9:13" x14ac:dyDescent="0.25">
      <c r="I1221"/>
      <c r="J1221"/>
      <c r="K1221"/>
      <c r="L1221"/>
      <c r="M1221"/>
    </row>
    <row r="1222" spans="9:13" x14ac:dyDescent="0.25">
      <c r="I1222"/>
      <c r="J1222"/>
      <c r="K1222"/>
      <c r="L1222"/>
      <c r="M1222"/>
    </row>
    <row r="1223" spans="9:13" x14ac:dyDescent="0.25">
      <c r="I1223"/>
      <c r="J1223"/>
      <c r="K1223"/>
      <c r="L1223"/>
      <c r="M1223"/>
    </row>
    <row r="1224" spans="9:13" x14ac:dyDescent="0.25">
      <c r="I1224"/>
      <c r="J1224"/>
      <c r="K1224"/>
      <c r="L1224"/>
      <c r="M1224"/>
    </row>
    <row r="1225" spans="9:13" x14ac:dyDescent="0.25">
      <c r="I1225"/>
      <c r="J1225"/>
      <c r="K1225"/>
      <c r="L1225"/>
      <c r="M1225"/>
    </row>
    <row r="1226" spans="9:13" x14ac:dyDescent="0.25">
      <c r="I1226"/>
      <c r="J1226"/>
      <c r="K1226"/>
      <c r="L1226"/>
      <c r="M1226"/>
    </row>
    <row r="1227" spans="9:13" x14ac:dyDescent="0.25">
      <c r="I1227"/>
      <c r="J1227"/>
      <c r="K1227"/>
      <c r="L1227"/>
      <c r="M1227"/>
    </row>
    <row r="1228" spans="9:13" x14ac:dyDescent="0.25">
      <c r="I1228"/>
      <c r="J1228"/>
      <c r="K1228"/>
      <c r="L1228"/>
      <c r="M1228"/>
    </row>
    <row r="1229" spans="9:13" x14ac:dyDescent="0.25">
      <c r="I1229"/>
      <c r="J1229"/>
      <c r="K1229"/>
      <c r="L1229"/>
      <c r="M1229"/>
    </row>
    <row r="1230" spans="9:13" x14ac:dyDescent="0.25">
      <c r="I1230"/>
      <c r="J1230"/>
      <c r="K1230"/>
      <c r="L1230"/>
      <c r="M1230"/>
    </row>
    <row r="1231" spans="9:13" x14ac:dyDescent="0.25">
      <c r="I1231"/>
      <c r="J1231"/>
      <c r="K1231"/>
      <c r="L1231"/>
      <c r="M1231"/>
    </row>
    <row r="1232" spans="9:13" x14ac:dyDescent="0.25">
      <c r="I1232"/>
      <c r="J1232"/>
      <c r="K1232"/>
      <c r="L1232"/>
      <c r="M1232"/>
    </row>
    <row r="1233" spans="9:13" x14ac:dyDescent="0.25">
      <c r="I1233"/>
      <c r="J1233"/>
      <c r="K1233"/>
      <c r="L1233"/>
      <c r="M1233"/>
    </row>
    <row r="1234" spans="9:13" x14ac:dyDescent="0.25">
      <c r="I1234"/>
      <c r="J1234"/>
      <c r="K1234"/>
      <c r="L1234"/>
      <c r="M1234"/>
    </row>
    <row r="1235" spans="9:13" x14ac:dyDescent="0.25">
      <c r="I1235"/>
      <c r="J1235"/>
      <c r="K1235"/>
      <c r="L1235"/>
      <c r="M1235"/>
    </row>
    <row r="1236" spans="9:13" x14ac:dyDescent="0.25">
      <c r="I1236"/>
      <c r="J1236"/>
      <c r="K1236"/>
      <c r="L1236"/>
      <c r="M1236"/>
    </row>
    <row r="1237" spans="9:13" x14ac:dyDescent="0.25">
      <c r="I1237"/>
      <c r="J1237"/>
      <c r="K1237"/>
      <c r="L1237"/>
      <c r="M1237"/>
    </row>
    <row r="1238" spans="9:13" x14ac:dyDescent="0.25">
      <c r="I1238"/>
      <c r="J1238"/>
      <c r="K1238"/>
      <c r="L1238"/>
      <c r="M1238"/>
    </row>
    <row r="1239" spans="9:13" x14ac:dyDescent="0.25">
      <c r="I1239"/>
      <c r="J1239"/>
      <c r="K1239"/>
      <c r="L1239"/>
      <c r="M1239"/>
    </row>
    <row r="1240" spans="9:13" x14ac:dyDescent="0.25">
      <c r="I1240"/>
      <c r="J1240"/>
      <c r="K1240"/>
      <c r="L1240"/>
      <c r="M1240"/>
    </row>
    <row r="1241" spans="9:13" x14ac:dyDescent="0.25">
      <c r="I1241"/>
      <c r="J1241"/>
      <c r="K1241"/>
      <c r="L1241"/>
      <c r="M1241"/>
    </row>
    <row r="1242" spans="9:13" x14ac:dyDescent="0.25">
      <c r="I1242"/>
      <c r="J1242"/>
      <c r="K1242"/>
      <c r="L1242"/>
      <c r="M1242"/>
    </row>
    <row r="1243" spans="9:13" x14ac:dyDescent="0.25">
      <c r="I1243"/>
      <c r="J1243"/>
      <c r="K1243"/>
      <c r="L1243"/>
      <c r="M1243"/>
    </row>
    <row r="1244" spans="9:13" x14ac:dyDescent="0.25">
      <c r="I1244"/>
      <c r="J1244"/>
      <c r="K1244"/>
      <c r="L1244"/>
      <c r="M1244"/>
    </row>
    <row r="1245" spans="9:13" x14ac:dyDescent="0.25">
      <c r="I1245"/>
      <c r="J1245"/>
      <c r="K1245"/>
      <c r="L1245"/>
      <c r="M1245"/>
    </row>
    <row r="1246" spans="9:13" x14ac:dyDescent="0.25">
      <c r="I1246"/>
      <c r="J1246"/>
      <c r="K1246"/>
      <c r="L1246"/>
      <c r="M1246"/>
    </row>
    <row r="1247" spans="9:13" x14ac:dyDescent="0.25">
      <c r="I1247"/>
      <c r="J1247"/>
      <c r="K1247"/>
      <c r="L1247"/>
      <c r="M1247"/>
    </row>
    <row r="1248" spans="9:13" x14ac:dyDescent="0.25">
      <c r="I1248"/>
      <c r="J1248"/>
      <c r="K1248"/>
      <c r="L1248"/>
      <c r="M1248"/>
    </row>
    <row r="1249" spans="9:13" x14ac:dyDescent="0.25">
      <c r="I1249"/>
      <c r="J1249"/>
      <c r="K1249"/>
      <c r="L1249"/>
      <c r="M1249"/>
    </row>
    <row r="1250" spans="9:13" x14ac:dyDescent="0.25">
      <c r="I1250"/>
      <c r="J1250"/>
      <c r="K1250"/>
      <c r="L1250"/>
      <c r="M1250"/>
    </row>
    <row r="1251" spans="9:13" x14ac:dyDescent="0.25">
      <c r="I1251"/>
      <c r="J1251"/>
      <c r="K1251"/>
      <c r="L1251"/>
      <c r="M1251"/>
    </row>
    <row r="1252" spans="9:13" x14ac:dyDescent="0.25">
      <c r="I1252"/>
      <c r="J1252"/>
      <c r="K1252"/>
      <c r="L1252"/>
      <c r="M1252"/>
    </row>
    <row r="1253" spans="9:13" x14ac:dyDescent="0.25">
      <c r="I1253"/>
      <c r="J1253"/>
      <c r="K1253"/>
      <c r="L1253"/>
      <c r="M1253"/>
    </row>
    <row r="1254" spans="9:13" x14ac:dyDescent="0.25">
      <c r="I1254"/>
      <c r="J1254"/>
      <c r="K1254"/>
      <c r="L1254"/>
      <c r="M1254"/>
    </row>
    <row r="1255" spans="9:13" x14ac:dyDescent="0.25">
      <c r="I1255"/>
      <c r="J1255"/>
      <c r="K1255"/>
      <c r="L1255"/>
      <c r="M1255"/>
    </row>
    <row r="1256" spans="9:13" x14ac:dyDescent="0.25">
      <c r="I1256"/>
      <c r="J1256"/>
      <c r="K1256"/>
      <c r="L1256"/>
      <c r="M1256"/>
    </row>
    <row r="1257" spans="9:13" x14ac:dyDescent="0.25">
      <c r="I1257"/>
      <c r="J1257"/>
      <c r="K1257"/>
      <c r="L1257"/>
      <c r="M1257"/>
    </row>
    <row r="1258" spans="9:13" x14ac:dyDescent="0.25">
      <c r="I1258"/>
      <c r="J1258"/>
      <c r="K1258"/>
      <c r="L1258"/>
      <c r="M1258"/>
    </row>
    <row r="1259" spans="9:13" x14ac:dyDescent="0.25">
      <c r="I1259"/>
      <c r="J1259"/>
      <c r="K1259"/>
      <c r="L1259"/>
      <c r="M1259"/>
    </row>
    <row r="1260" spans="9:13" x14ac:dyDescent="0.25">
      <c r="I1260"/>
      <c r="J1260"/>
      <c r="K1260"/>
      <c r="L1260"/>
      <c r="M1260"/>
    </row>
    <row r="1261" spans="9:13" x14ac:dyDescent="0.25">
      <c r="I1261"/>
      <c r="J1261"/>
      <c r="K1261"/>
      <c r="L1261"/>
      <c r="M1261"/>
    </row>
    <row r="1262" spans="9:13" x14ac:dyDescent="0.25">
      <c r="I1262"/>
      <c r="J1262"/>
      <c r="K1262"/>
      <c r="L1262"/>
      <c r="M1262"/>
    </row>
    <row r="1263" spans="9:13" x14ac:dyDescent="0.25">
      <c r="I1263"/>
      <c r="J1263"/>
      <c r="K1263"/>
      <c r="L1263"/>
      <c r="M1263"/>
    </row>
    <row r="1264" spans="9:13" x14ac:dyDescent="0.25">
      <c r="I1264"/>
      <c r="J1264"/>
      <c r="K1264"/>
      <c r="L1264"/>
      <c r="M1264"/>
    </row>
    <row r="1265" spans="9:13" x14ac:dyDescent="0.25">
      <c r="I1265"/>
      <c r="J1265"/>
      <c r="K1265"/>
      <c r="L1265"/>
      <c r="M1265"/>
    </row>
    <row r="1266" spans="9:13" x14ac:dyDescent="0.25">
      <c r="I1266"/>
      <c r="J1266"/>
      <c r="K1266"/>
      <c r="L1266"/>
      <c r="M1266"/>
    </row>
    <row r="1267" spans="9:13" x14ac:dyDescent="0.25">
      <c r="I1267"/>
      <c r="J1267"/>
      <c r="K1267"/>
      <c r="L1267"/>
      <c r="M1267"/>
    </row>
    <row r="1268" spans="9:13" x14ac:dyDescent="0.25">
      <c r="I1268"/>
      <c r="J1268"/>
      <c r="K1268"/>
      <c r="L1268"/>
      <c r="M1268"/>
    </row>
    <row r="1269" spans="9:13" x14ac:dyDescent="0.25">
      <c r="I1269"/>
      <c r="J1269"/>
      <c r="K1269"/>
      <c r="L1269"/>
      <c r="M1269"/>
    </row>
    <row r="1270" spans="9:13" x14ac:dyDescent="0.25">
      <c r="I1270"/>
      <c r="J1270"/>
      <c r="K1270"/>
      <c r="L1270"/>
      <c r="M1270"/>
    </row>
    <row r="1271" spans="9:13" x14ac:dyDescent="0.25">
      <c r="I1271"/>
      <c r="J1271"/>
      <c r="K1271"/>
      <c r="L1271"/>
      <c r="M1271"/>
    </row>
    <row r="1272" spans="9:13" x14ac:dyDescent="0.25">
      <c r="I1272"/>
      <c r="J1272"/>
      <c r="K1272"/>
      <c r="L1272"/>
      <c r="M1272"/>
    </row>
    <row r="1273" spans="9:13" x14ac:dyDescent="0.25">
      <c r="I1273"/>
      <c r="J1273"/>
      <c r="K1273"/>
      <c r="L1273"/>
      <c r="M1273"/>
    </row>
    <row r="1274" spans="9:13" x14ac:dyDescent="0.25">
      <c r="I1274"/>
      <c r="J1274"/>
      <c r="K1274"/>
      <c r="L1274"/>
      <c r="M1274"/>
    </row>
    <row r="1275" spans="9:13" x14ac:dyDescent="0.25">
      <c r="I1275"/>
      <c r="J1275"/>
      <c r="K1275"/>
      <c r="L1275"/>
      <c r="M1275"/>
    </row>
    <row r="1276" spans="9:13" x14ac:dyDescent="0.25">
      <c r="I1276"/>
      <c r="J1276"/>
      <c r="K1276"/>
      <c r="L1276"/>
      <c r="M1276"/>
    </row>
    <row r="1277" spans="9:13" x14ac:dyDescent="0.25">
      <c r="I1277"/>
      <c r="J1277"/>
      <c r="K1277"/>
      <c r="L1277"/>
      <c r="M1277"/>
    </row>
    <row r="1278" spans="9:13" x14ac:dyDescent="0.25">
      <c r="I1278"/>
      <c r="J1278"/>
      <c r="K1278"/>
      <c r="L1278"/>
      <c r="M1278"/>
    </row>
    <row r="1279" spans="9:13" x14ac:dyDescent="0.25">
      <c r="I1279"/>
      <c r="J1279"/>
      <c r="K1279"/>
      <c r="L1279"/>
      <c r="M1279"/>
    </row>
    <row r="1280" spans="9:13" x14ac:dyDescent="0.25">
      <c r="I1280"/>
      <c r="J1280"/>
      <c r="K1280"/>
      <c r="L1280"/>
      <c r="M1280"/>
    </row>
    <row r="1281" spans="9:13" x14ac:dyDescent="0.25">
      <c r="I1281"/>
      <c r="J1281"/>
      <c r="K1281"/>
      <c r="L1281"/>
      <c r="M1281"/>
    </row>
    <row r="1282" spans="9:13" x14ac:dyDescent="0.25">
      <c r="I1282"/>
      <c r="J1282"/>
      <c r="K1282"/>
      <c r="L1282"/>
      <c r="M1282"/>
    </row>
    <row r="1283" spans="9:13" x14ac:dyDescent="0.25">
      <c r="I1283"/>
      <c r="J1283"/>
      <c r="K1283"/>
      <c r="L1283"/>
      <c r="M1283"/>
    </row>
    <row r="1284" spans="9:13" x14ac:dyDescent="0.25">
      <c r="I1284"/>
      <c r="J1284"/>
      <c r="K1284"/>
      <c r="L1284"/>
      <c r="M1284"/>
    </row>
    <row r="1285" spans="9:13" x14ac:dyDescent="0.25">
      <c r="I1285"/>
      <c r="J1285"/>
      <c r="K1285"/>
      <c r="L1285"/>
      <c r="M1285"/>
    </row>
    <row r="1286" spans="9:13" x14ac:dyDescent="0.25">
      <c r="I1286"/>
      <c r="J1286"/>
      <c r="K1286"/>
      <c r="L1286"/>
      <c r="M1286"/>
    </row>
    <row r="1287" spans="9:13" x14ac:dyDescent="0.25">
      <c r="I1287"/>
      <c r="J1287"/>
      <c r="K1287"/>
      <c r="L1287"/>
      <c r="M1287"/>
    </row>
    <row r="1288" spans="9:13" x14ac:dyDescent="0.25">
      <c r="I1288"/>
      <c r="J1288"/>
      <c r="K1288"/>
      <c r="L1288"/>
      <c r="M1288"/>
    </row>
    <row r="1289" spans="9:13" x14ac:dyDescent="0.25">
      <c r="I1289"/>
      <c r="J1289"/>
      <c r="K1289"/>
      <c r="L1289"/>
      <c r="M1289"/>
    </row>
    <row r="1290" spans="9:13" x14ac:dyDescent="0.25">
      <c r="I1290"/>
      <c r="J1290"/>
      <c r="K1290"/>
      <c r="L1290"/>
      <c r="M1290"/>
    </row>
    <row r="1291" spans="9:13" x14ac:dyDescent="0.25">
      <c r="I1291"/>
      <c r="J1291"/>
      <c r="K1291"/>
      <c r="L1291"/>
      <c r="M1291"/>
    </row>
    <row r="1292" spans="9:13" x14ac:dyDescent="0.25">
      <c r="I1292"/>
      <c r="J1292"/>
      <c r="K1292"/>
      <c r="L1292"/>
      <c r="M1292"/>
    </row>
    <row r="1293" spans="9:13" x14ac:dyDescent="0.25">
      <c r="I1293"/>
      <c r="J1293"/>
      <c r="K1293"/>
      <c r="L1293"/>
      <c r="M1293"/>
    </row>
    <row r="1294" spans="9:13" x14ac:dyDescent="0.25">
      <c r="I1294"/>
      <c r="J1294"/>
      <c r="K1294"/>
      <c r="L1294"/>
      <c r="M1294"/>
    </row>
    <row r="1295" spans="9:13" x14ac:dyDescent="0.25">
      <c r="I1295"/>
      <c r="J1295"/>
      <c r="K1295"/>
      <c r="L1295"/>
      <c r="M1295"/>
    </row>
    <row r="1296" spans="9:13" x14ac:dyDescent="0.25">
      <c r="I1296"/>
      <c r="J1296"/>
      <c r="K1296"/>
      <c r="L1296"/>
      <c r="M1296"/>
    </row>
    <row r="1297" spans="9:13" x14ac:dyDescent="0.25">
      <c r="I1297"/>
      <c r="J1297"/>
      <c r="K1297"/>
      <c r="L1297"/>
      <c r="M1297"/>
    </row>
    <row r="1298" spans="9:13" x14ac:dyDescent="0.25">
      <c r="I1298"/>
      <c r="J1298"/>
      <c r="K1298"/>
      <c r="L1298"/>
      <c r="M1298"/>
    </row>
    <row r="1299" spans="9:13" x14ac:dyDescent="0.25">
      <c r="I1299"/>
      <c r="J1299"/>
      <c r="K1299"/>
      <c r="L1299"/>
      <c r="M1299"/>
    </row>
    <row r="1300" spans="9:13" x14ac:dyDescent="0.25">
      <c r="I1300"/>
      <c r="J1300"/>
      <c r="K1300"/>
      <c r="L1300"/>
      <c r="M1300"/>
    </row>
    <row r="1301" spans="9:13" x14ac:dyDescent="0.25">
      <c r="I1301"/>
      <c r="J1301"/>
      <c r="K1301"/>
      <c r="L1301"/>
      <c r="M1301"/>
    </row>
    <row r="1302" spans="9:13" x14ac:dyDescent="0.25">
      <c r="I1302"/>
      <c r="J1302"/>
      <c r="K1302"/>
      <c r="L1302"/>
      <c r="M1302"/>
    </row>
    <row r="1303" spans="9:13" x14ac:dyDescent="0.25">
      <c r="I1303"/>
      <c r="J1303"/>
      <c r="K1303"/>
      <c r="L1303"/>
      <c r="M1303"/>
    </row>
    <row r="1304" spans="9:13" x14ac:dyDescent="0.25">
      <c r="I1304"/>
      <c r="J1304"/>
      <c r="K1304"/>
      <c r="L1304"/>
      <c r="M1304"/>
    </row>
    <row r="1305" spans="9:13" x14ac:dyDescent="0.25">
      <c r="I1305"/>
      <c r="J1305"/>
      <c r="K1305"/>
      <c r="L1305"/>
      <c r="M1305"/>
    </row>
    <row r="1306" spans="9:13" x14ac:dyDescent="0.25">
      <c r="I1306"/>
      <c r="J1306"/>
      <c r="K1306"/>
      <c r="L1306"/>
      <c r="M1306"/>
    </row>
    <row r="1307" spans="9:13" x14ac:dyDescent="0.25">
      <c r="I1307"/>
      <c r="J1307"/>
      <c r="K1307"/>
      <c r="L1307"/>
      <c r="M1307"/>
    </row>
    <row r="1308" spans="9:13" x14ac:dyDescent="0.25">
      <c r="I1308"/>
      <c r="J1308"/>
      <c r="K1308"/>
      <c r="L1308"/>
      <c r="M1308"/>
    </row>
    <row r="1309" spans="9:13" x14ac:dyDescent="0.25">
      <c r="I1309"/>
      <c r="J1309"/>
      <c r="K1309"/>
      <c r="L1309"/>
      <c r="M1309"/>
    </row>
    <row r="1310" spans="9:13" x14ac:dyDescent="0.25">
      <c r="I1310"/>
      <c r="J1310"/>
      <c r="K1310"/>
      <c r="L1310"/>
      <c r="M1310"/>
    </row>
    <row r="1311" spans="9:13" x14ac:dyDescent="0.25">
      <c r="I1311"/>
      <c r="J1311"/>
      <c r="K1311"/>
      <c r="L1311"/>
      <c r="M1311"/>
    </row>
    <row r="1312" spans="9:13" x14ac:dyDescent="0.25">
      <c r="I1312"/>
      <c r="J1312"/>
      <c r="K1312"/>
      <c r="L1312"/>
      <c r="M1312"/>
    </row>
    <row r="1313" spans="9:13" x14ac:dyDescent="0.25">
      <c r="I1313"/>
      <c r="J1313"/>
      <c r="K1313"/>
      <c r="L1313"/>
      <c r="M1313"/>
    </row>
    <row r="1314" spans="9:13" x14ac:dyDescent="0.25">
      <c r="I1314"/>
      <c r="J1314"/>
      <c r="K1314"/>
      <c r="L1314"/>
      <c r="M1314"/>
    </row>
    <row r="1315" spans="9:13" x14ac:dyDescent="0.25">
      <c r="I1315"/>
      <c r="J1315"/>
      <c r="K1315"/>
      <c r="L1315"/>
      <c r="M1315"/>
    </row>
    <row r="1316" spans="9:13" x14ac:dyDescent="0.25">
      <c r="I1316"/>
      <c r="J1316"/>
      <c r="K1316"/>
      <c r="L1316"/>
      <c r="M1316"/>
    </row>
    <row r="1317" spans="9:13" x14ac:dyDescent="0.25">
      <c r="I1317"/>
      <c r="J1317"/>
      <c r="K1317"/>
      <c r="L1317"/>
      <c r="M1317"/>
    </row>
    <row r="1318" spans="9:13" x14ac:dyDescent="0.25">
      <c r="I1318"/>
      <c r="J1318"/>
      <c r="K1318"/>
      <c r="L1318"/>
      <c r="M1318"/>
    </row>
    <row r="1319" spans="9:13" x14ac:dyDescent="0.25">
      <c r="I1319"/>
      <c r="J1319"/>
      <c r="K1319"/>
      <c r="L1319"/>
      <c r="M1319"/>
    </row>
    <row r="1320" spans="9:13" x14ac:dyDescent="0.25">
      <c r="I1320"/>
      <c r="J1320"/>
      <c r="K1320"/>
      <c r="L1320"/>
      <c r="M1320"/>
    </row>
    <row r="1321" spans="9:13" x14ac:dyDescent="0.25">
      <c r="I1321"/>
      <c r="J1321"/>
      <c r="K1321"/>
      <c r="L1321"/>
      <c r="M1321"/>
    </row>
    <row r="1322" spans="9:13" x14ac:dyDescent="0.25">
      <c r="I1322"/>
      <c r="J1322"/>
      <c r="K1322"/>
      <c r="L1322"/>
      <c r="M1322"/>
    </row>
    <row r="1323" spans="9:13" x14ac:dyDescent="0.25">
      <c r="I1323"/>
      <c r="J1323"/>
      <c r="K1323"/>
      <c r="L1323"/>
      <c r="M1323"/>
    </row>
    <row r="1324" spans="9:13" x14ac:dyDescent="0.25">
      <c r="I1324"/>
      <c r="J1324"/>
      <c r="K1324"/>
      <c r="L1324"/>
      <c r="M1324"/>
    </row>
    <row r="1325" spans="9:13" x14ac:dyDescent="0.25">
      <c r="I1325"/>
      <c r="J1325"/>
      <c r="K1325"/>
      <c r="L1325"/>
      <c r="M1325"/>
    </row>
    <row r="1326" spans="9:13" x14ac:dyDescent="0.25">
      <c r="I1326"/>
      <c r="J1326"/>
      <c r="K1326"/>
      <c r="L1326"/>
      <c r="M1326"/>
    </row>
    <row r="1327" spans="9:13" x14ac:dyDescent="0.25">
      <c r="I1327"/>
      <c r="J1327"/>
      <c r="K1327"/>
      <c r="L1327"/>
      <c r="M1327"/>
    </row>
    <row r="1328" spans="9:13" x14ac:dyDescent="0.25">
      <c r="I1328"/>
      <c r="J1328"/>
      <c r="K1328"/>
      <c r="L1328"/>
      <c r="M1328"/>
    </row>
    <row r="1329" spans="9:13" x14ac:dyDescent="0.25">
      <c r="I1329"/>
      <c r="J1329"/>
      <c r="K1329"/>
      <c r="L1329"/>
      <c r="M1329"/>
    </row>
    <row r="1330" spans="9:13" x14ac:dyDescent="0.25">
      <c r="I1330"/>
      <c r="J1330"/>
      <c r="K1330"/>
      <c r="L1330"/>
      <c r="M1330"/>
    </row>
    <row r="1331" spans="9:13" x14ac:dyDescent="0.25">
      <c r="I1331"/>
      <c r="J1331"/>
      <c r="K1331"/>
      <c r="L1331"/>
      <c r="M1331"/>
    </row>
    <row r="1332" spans="9:13" x14ac:dyDescent="0.25">
      <c r="I1332"/>
      <c r="J1332"/>
      <c r="K1332"/>
      <c r="L1332"/>
      <c r="M1332"/>
    </row>
    <row r="1333" spans="9:13" x14ac:dyDescent="0.25">
      <c r="I1333"/>
      <c r="J1333"/>
      <c r="K1333"/>
      <c r="L1333"/>
      <c r="M1333"/>
    </row>
    <row r="1334" spans="9:13" x14ac:dyDescent="0.25">
      <c r="I1334"/>
      <c r="J1334"/>
      <c r="K1334"/>
      <c r="L1334"/>
      <c r="M1334"/>
    </row>
    <row r="1335" spans="9:13" x14ac:dyDescent="0.25">
      <c r="I1335"/>
      <c r="J1335"/>
      <c r="K1335"/>
      <c r="L1335"/>
      <c r="M1335"/>
    </row>
    <row r="1336" spans="9:13" x14ac:dyDescent="0.25">
      <c r="I1336"/>
      <c r="J1336"/>
      <c r="K1336"/>
      <c r="L1336"/>
      <c r="M1336"/>
    </row>
    <row r="1337" spans="9:13" x14ac:dyDescent="0.25">
      <c r="I1337"/>
      <c r="J1337"/>
      <c r="K1337"/>
      <c r="L1337"/>
      <c r="M1337"/>
    </row>
    <row r="1338" spans="9:13" x14ac:dyDescent="0.25">
      <c r="I1338"/>
      <c r="J1338"/>
      <c r="K1338"/>
      <c r="L1338"/>
      <c r="M1338"/>
    </row>
    <row r="1339" spans="9:13" x14ac:dyDescent="0.25">
      <c r="I1339"/>
      <c r="J1339"/>
      <c r="K1339"/>
      <c r="L1339"/>
      <c r="M1339"/>
    </row>
    <row r="1340" spans="9:13" x14ac:dyDescent="0.25">
      <c r="I1340"/>
      <c r="J1340"/>
      <c r="K1340"/>
      <c r="L1340"/>
      <c r="M1340"/>
    </row>
    <row r="1341" spans="9:13" x14ac:dyDescent="0.25">
      <c r="I1341"/>
      <c r="J1341"/>
      <c r="K1341"/>
      <c r="L1341"/>
      <c r="M1341"/>
    </row>
    <row r="1342" spans="9:13" x14ac:dyDescent="0.25">
      <c r="I1342"/>
      <c r="J1342"/>
      <c r="K1342"/>
      <c r="L1342"/>
      <c r="M1342"/>
    </row>
    <row r="1343" spans="9:13" x14ac:dyDescent="0.25">
      <c r="I1343"/>
      <c r="J1343"/>
      <c r="K1343"/>
      <c r="L1343"/>
      <c r="M1343"/>
    </row>
    <row r="1344" spans="9:13" x14ac:dyDescent="0.25">
      <c r="I1344"/>
      <c r="J1344"/>
      <c r="K1344"/>
      <c r="L1344"/>
      <c r="M1344"/>
    </row>
    <row r="1345" spans="9:13" x14ac:dyDescent="0.25">
      <c r="I1345"/>
      <c r="J1345"/>
      <c r="K1345"/>
      <c r="L1345"/>
      <c r="M1345"/>
    </row>
    <row r="1346" spans="9:13" x14ac:dyDescent="0.25">
      <c r="I1346"/>
      <c r="J1346"/>
      <c r="K1346"/>
      <c r="L1346"/>
      <c r="M1346"/>
    </row>
    <row r="1347" spans="9:13" x14ac:dyDescent="0.25">
      <c r="I1347"/>
      <c r="J1347"/>
      <c r="K1347"/>
      <c r="L1347"/>
      <c r="M1347"/>
    </row>
    <row r="1348" spans="9:13" x14ac:dyDescent="0.25">
      <c r="I1348"/>
      <c r="J1348"/>
      <c r="K1348"/>
      <c r="L1348"/>
      <c r="M1348"/>
    </row>
    <row r="1349" spans="9:13" x14ac:dyDescent="0.25">
      <c r="I1349"/>
      <c r="J1349"/>
      <c r="K1349"/>
      <c r="L1349"/>
      <c r="M1349"/>
    </row>
    <row r="1350" spans="9:13" x14ac:dyDescent="0.25">
      <c r="I1350"/>
      <c r="J1350"/>
      <c r="K1350"/>
      <c r="L1350"/>
      <c r="M1350"/>
    </row>
    <row r="1351" spans="9:13" x14ac:dyDescent="0.25">
      <c r="I1351"/>
      <c r="J1351"/>
      <c r="K1351"/>
      <c r="L1351"/>
      <c r="M1351"/>
    </row>
    <row r="1352" spans="9:13" x14ac:dyDescent="0.25">
      <c r="I1352"/>
      <c r="J1352"/>
      <c r="K1352"/>
      <c r="L1352"/>
      <c r="M1352"/>
    </row>
    <row r="1353" spans="9:13" x14ac:dyDescent="0.25">
      <c r="I1353"/>
      <c r="J1353"/>
      <c r="K1353"/>
      <c r="L1353"/>
      <c r="M1353"/>
    </row>
    <row r="1354" spans="9:13" x14ac:dyDescent="0.25">
      <c r="I1354"/>
      <c r="J1354"/>
      <c r="K1354"/>
      <c r="L1354"/>
      <c r="M1354"/>
    </row>
    <row r="1355" spans="9:13" x14ac:dyDescent="0.25">
      <c r="I1355"/>
      <c r="J1355"/>
      <c r="K1355"/>
      <c r="L1355"/>
      <c r="M1355"/>
    </row>
    <row r="1356" spans="9:13" x14ac:dyDescent="0.25">
      <c r="I1356"/>
      <c r="J1356"/>
      <c r="K1356"/>
      <c r="L1356"/>
      <c r="M1356"/>
    </row>
    <row r="1357" spans="9:13" x14ac:dyDescent="0.25">
      <c r="I1357"/>
      <c r="J1357"/>
      <c r="K1357"/>
      <c r="L1357"/>
      <c r="M1357"/>
    </row>
    <row r="1358" spans="9:13" x14ac:dyDescent="0.25">
      <c r="I1358"/>
      <c r="J1358"/>
      <c r="K1358"/>
      <c r="L1358"/>
      <c r="M1358"/>
    </row>
    <row r="1359" spans="9:13" x14ac:dyDescent="0.25">
      <c r="I1359"/>
      <c r="J1359"/>
      <c r="K1359"/>
      <c r="L1359"/>
      <c r="M1359"/>
    </row>
    <row r="1360" spans="9:13" x14ac:dyDescent="0.25">
      <c r="I1360"/>
      <c r="J1360"/>
      <c r="K1360"/>
      <c r="L1360"/>
      <c r="M1360"/>
    </row>
    <row r="1361" spans="9:13" x14ac:dyDescent="0.25">
      <c r="I1361"/>
      <c r="J1361"/>
      <c r="K1361"/>
      <c r="L1361"/>
      <c r="M1361"/>
    </row>
    <row r="1362" spans="9:13" x14ac:dyDescent="0.25">
      <c r="I1362"/>
      <c r="J1362"/>
      <c r="K1362"/>
      <c r="L1362"/>
      <c r="M1362"/>
    </row>
    <row r="1363" spans="9:13" x14ac:dyDescent="0.25">
      <c r="I1363"/>
      <c r="J1363"/>
      <c r="K1363"/>
      <c r="L1363"/>
      <c r="M1363"/>
    </row>
    <row r="1364" spans="9:13" x14ac:dyDescent="0.25">
      <c r="I1364"/>
      <c r="J1364"/>
      <c r="K1364"/>
      <c r="L1364"/>
      <c r="M1364"/>
    </row>
    <row r="1365" spans="9:13" x14ac:dyDescent="0.25">
      <c r="I1365"/>
      <c r="J1365"/>
      <c r="K1365"/>
      <c r="L1365"/>
      <c r="M1365"/>
    </row>
    <row r="1366" spans="9:13" x14ac:dyDescent="0.25">
      <c r="I1366"/>
      <c r="J1366"/>
      <c r="K1366"/>
      <c r="L1366"/>
      <c r="M1366"/>
    </row>
    <row r="1367" spans="9:13" x14ac:dyDescent="0.25">
      <c r="I1367"/>
      <c r="J1367"/>
      <c r="K1367"/>
      <c r="L1367"/>
      <c r="M1367"/>
    </row>
    <row r="1368" spans="9:13" x14ac:dyDescent="0.25">
      <c r="I1368"/>
      <c r="J1368"/>
      <c r="K1368"/>
      <c r="L1368"/>
      <c r="M1368"/>
    </row>
    <row r="1369" spans="9:13" x14ac:dyDescent="0.25">
      <c r="I1369"/>
      <c r="J1369"/>
      <c r="K1369"/>
      <c r="L1369"/>
      <c r="M1369"/>
    </row>
    <row r="1370" spans="9:13" x14ac:dyDescent="0.25">
      <c r="I1370"/>
      <c r="J1370"/>
      <c r="K1370"/>
      <c r="L1370"/>
      <c r="M1370"/>
    </row>
    <row r="1371" spans="9:13" x14ac:dyDescent="0.25">
      <c r="I1371"/>
      <c r="J1371"/>
      <c r="K1371"/>
      <c r="L1371"/>
      <c r="M1371"/>
    </row>
    <row r="1372" spans="9:13" x14ac:dyDescent="0.25">
      <c r="I1372"/>
      <c r="J1372"/>
      <c r="K1372"/>
      <c r="L1372"/>
      <c r="M1372"/>
    </row>
    <row r="1373" spans="9:13" x14ac:dyDescent="0.25">
      <c r="I1373"/>
      <c r="J1373"/>
      <c r="K1373"/>
      <c r="L1373"/>
      <c r="M1373"/>
    </row>
    <row r="1374" spans="9:13" x14ac:dyDescent="0.25">
      <c r="I1374"/>
      <c r="J1374"/>
      <c r="K1374"/>
      <c r="L1374"/>
      <c r="M1374"/>
    </row>
    <row r="1375" spans="9:13" x14ac:dyDescent="0.25">
      <c r="I1375"/>
      <c r="J1375"/>
      <c r="K1375"/>
      <c r="L1375"/>
      <c r="M1375"/>
    </row>
    <row r="1376" spans="9:13" x14ac:dyDescent="0.25">
      <c r="I1376"/>
      <c r="J1376"/>
      <c r="K1376"/>
      <c r="L1376"/>
      <c r="M1376"/>
    </row>
    <row r="1377" spans="9:13" x14ac:dyDescent="0.25">
      <c r="I1377"/>
      <c r="J1377"/>
      <c r="K1377"/>
      <c r="L1377"/>
      <c r="M1377"/>
    </row>
    <row r="1378" spans="9:13" x14ac:dyDescent="0.25">
      <c r="I1378"/>
      <c r="J1378"/>
      <c r="K1378"/>
      <c r="L1378"/>
      <c r="M1378"/>
    </row>
    <row r="1379" spans="9:13" x14ac:dyDescent="0.25">
      <c r="I1379"/>
      <c r="J1379"/>
      <c r="K1379"/>
      <c r="L1379"/>
      <c r="M1379"/>
    </row>
    <row r="1380" spans="9:13" x14ac:dyDescent="0.25">
      <c r="I1380"/>
      <c r="J1380"/>
      <c r="K1380"/>
      <c r="L1380"/>
      <c r="M1380"/>
    </row>
    <row r="1381" spans="9:13" x14ac:dyDescent="0.25">
      <c r="I1381"/>
      <c r="J1381"/>
      <c r="K1381"/>
      <c r="L1381"/>
      <c r="M1381"/>
    </row>
    <row r="1382" spans="9:13" x14ac:dyDescent="0.25">
      <c r="I1382"/>
      <c r="J1382"/>
      <c r="K1382"/>
      <c r="L1382"/>
      <c r="M1382"/>
    </row>
    <row r="1383" spans="9:13" x14ac:dyDescent="0.25">
      <c r="I1383"/>
      <c r="J1383"/>
      <c r="K1383"/>
      <c r="L1383"/>
      <c r="M1383"/>
    </row>
    <row r="1384" spans="9:13" x14ac:dyDescent="0.25">
      <c r="I1384"/>
      <c r="J1384"/>
      <c r="K1384"/>
      <c r="L1384"/>
      <c r="M1384"/>
    </row>
    <row r="1385" spans="9:13" x14ac:dyDescent="0.25">
      <c r="I1385"/>
      <c r="J1385"/>
      <c r="K1385"/>
      <c r="L1385"/>
      <c r="M1385"/>
    </row>
    <row r="1386" spans="9:13" x14ac:dyDescent="0.25">
      <c r="I1386"/>
      <c r="J1386"/>
      <c r="K1386"/>
      <c r="L1386"/>
      <c r="M1386"/>
    </row>
    <row r="1387" spans="9:13" x14ac:dyDescent="0.25">
      <c r="I1387"/>
      <c r="J1387"/>
      <c r="K1387"/>
      <c r="L1387"/>
      <c r="M1387"/>
    </row>
    <row r="1388" spans="9:13" x14ac:dyDescent="0.25">
      <c r="I1388"/>
      <c r="J1388"/>
      <c r="K1388"/>
      <c r="L1388"/>
      <c r="M1388"/>
    </row>
    <row r="1389" spans="9:13" x14ac:dyDescent="0.25">
      <c r="I1389"/>
      <c r="J1389"/>
      <c r="K1389"/>
      <c r="L1389"/>
      <c r="M1389"/>
    </row>
    <row r="1390" spans="9:13" x14ac:dyDescent="0.25">
      <c r="I1390"/>
      <c r="J1390"/>
      <c r="K1390"/>
      <c r="L1390"/>
      <c r="M1390"/>
    </row>
    <row r="1391" spans="9:13" x14ac:dyDescent="0.25">
      <c r="I1391"/>
      <c r="J1391"/>
      <c r="K1391"/>
      <c r="L1391"/>
      <c r="M1391"/>
    </row>
    <row r="1392" spans="9:13" x14ac:dyDescent="0.25">
      <c r="I1392"/>
      <c r="J1392"/>
      <c r="K1392"/>
      <c r="L1392"/>
      <c r="M1392"/>
    </row>
    <row r="1393" spans="9:13" x14ac:dyDescent="0.25">
      <c r="I1393"/>
      <c r="J1393"/>
      <c r="K1393"/>
      <c r="L1393"/>
      <c r="M1393"/>
    </row>
    <row r="1394" spans="9:13" x14ac:dyDescent="0.25">
      <c r="I1394"/>
      <c r="J1394"/>
      <c r="K1394"/>
      <c r="L1394"/>
      <c r="M1394"/>
    </row>
    <row r="1395" spans="9:13" x14ac:dyDescent="0.25">
      <c r="I1395"/>
      <c r="J1395"/>
      <c r="K1395"/>
      <c r="L1395"/>
      <c r="M1395"/>
    </row>
    <row r="1396" spans="9:13" x14ac:dyDescent="0.25">
      <c r="I1396"/>
      <c r="J1396"/>
      <c r="K1396"/>
      <c r="L1396"/>
      <c r="M1396"/>
    </row>
    <row r="1397" spans="9:13" x14ac:dyDescent="0.25">
      <c r="I1397"/>
      <c r="J1397"/>
      <c r="K1397"/>
      <c r="L1397"/>
      <c r="M1397"/>
    </row>
    <row r="1398" spans="9:13" x14ac:dyDescent="0.25">
      <c r="I1398"/>
      <c r="J1398"/>
      <c r="K1398"/>
      <c r="L1398"/>
      <c r="M1398"/>
    </row>
    <row r="1399" spans="9:13" x14ac:dyDescent="0.25">
      <c r="I1399"/>
      <c r="J1399"/>
      <c r="K1399"/>
      <c r="L1399"/>
      <c r="M1399"/>
    </row>
    <row r="1400" spans="9:13" x14ac:dyDescent="0.25">
      <c r="I1400"/>
      <c r="J1400"/>
      <c r="K1400"/>
      <c r="L1400"/>
      <c r="M1400"/>
    </row>
    <row r="1401" spans="9:13" x14ac:dyDescent="0.25">
      <c r="I1401"/>
      <c r="J1401"/>
      <c r="K1401"/>
      <c r="L1401"/>
      <c r="M1401"/>
    </row>
    <row r="1402" spans="9:13" x14ac:dyDescent="0.25">
      <c r="I1402"/>
      <c r="J1402"/>
      <c r="K1402"/>
      <c r="L1402"/>
      <c r="M1402"/>
    </row>
    <row r="1403" spans="9:13" x14ac:dyDescent="0.25">
      <c r="I1403"/>
      <c r="J1403"/>
      <c r="K1403"/>
      <c r="L1403"/>
      <c r="M1403"/>
    </row>
    <row r="1404" spans="9:13" x14ac:dyDescent="0.25">
      <c r="I1404"/>
      <c r="J1404"/>
      <c r="K1404"/>
      <c r="L1404"/>
      <c r="M1404"/>
    </row>
    <row r="1405" spans="9:13" x14ac:dyDescent="0.25">
      <c r="I1405"/>
      <c r="J1405"/>
      <c r="K1405"/>
      <c r="L1405"/>
      <c r="M1405"/>
    </row>
    <row r="1406" spans="9:13" x14ac:dyDescent="0.25">
      <c r="I1406"/>
      <c r="J1406"/>
      <c r="K1406"/>
      <c r="L1406"/>
      <c r="M1406"/>
    </row>
    <row r="1407" spans="9:13" x14ac:dyDescent="0.25">
      <c r="I1407"/>
      <c r="J1407"/>
      <c r="K1407"/>
      <c r="L1407"/>
      <c r="M1407"/>
    </row>
    <row r="1408" spans="9:13" x14ac:dyDescent="0.25">
      <c r="I1408"/>
      <c r="J1408"/>
      <c r="K1408"/>
      <c r="L1408"/>
      <c r="M1408"/>
    </row>
    <row r="1409" spans="9:13" x14ac:dyDescent="0.25">
      <c r="I1409"/>
      <c r="J1409"/>
      <c r="K1409"/>
      <c r="L1409"/>
      <c r="M1409"/>
    </row>
    <row r="1410" spans="9:13" x14ac:dyDescent="0.25">
      <c r="I1410"/>
      <c r="J1410"/>
      <c r="K1410"/>
      <c r="L1410"/>
      <c r="M1410"/>
    </row>
    <row r="1411" spans="9:13" x14ac:dyDescent="0.25">
      <c r="I1411"/>
      <c r="J1411"/>
      <c r="K1411"/>
      <c r="L1411"/>
      <c r="M1411"/>
    </row>
    <row r="1412" spans="9:13" x14ac:dyDescent="0.25">
      <c r="I1412"/>
      <c r="J1412"/>
      <c r="K1412"/>
      <c r="L1412"/>
      <c r="M1412"/>
    </row>
    <row r="1413" spans="9:13" x14ac:dyDescent="0.25">
      <c r="I1413"/>
      <c r="J1413"/>
      <c r="K1413"/>
      <c r="L1413"/>
      <c r="M1413"/>
    </row>
    <row r="1414" spans="9:13" x14ac:dyDescent="0.25">
      <c r="I1414"/>
      <c r="J1414"/>
      <c r="K1414"/>
      <c r="L1414"/>
      <c r="M1414"/>
    </row>
    <row r="1415" spans="9:13" x14ac:dyDescent="0.25">
      <c r="I1415"/>
      <c r="J1415"/>
      <c r="K1415"/>
      <c r="L1415"/>
      <c r="M1415"/>
    </row>
    <row r="1416" spans="9:13" x14ac:dyDescent="0.25">
      <c r="I1416"/>
      <c r="J1416"/>
      <c r="K1416"/>
      <c r="L1416"/>
      <c r="M1416"/>
    </row>
    <row r="1417" spans="9:13" x14ac:dyDescent="0.25">
      <c r="I1417"/>
      <c r="J1417"/>
      <c r="K1417"/>
      <c r="L1417"/>
      <c r="M1417"/>
    </row>
    <row r="1418" spans="9:13" x14ac:dyDescent="0.25">
      <c r="I1418"/>
      <c r="J1418"/>
      <c r="K1418"/>
      <c r="L1418"/>
      <c r="M1418"/>
    </row>
    <row r="1419" spans="9:13" x14ac:dyDescent="0.25">
      <c r="I1419"/>
      <c r="J1419"/>
      <c r="K1419"/>
      <c r="L1419"/>
      <c r="M1419"/>
    </row>
    <row r="1420" spans="9:13" x14ac:dyDescent="0.25">
      <c r="I1420"/>
      <c r="J1420"/>
      <c r="K1420"/>
      <c r="L1420"/>
      <c r="M1420"/>
    </row>
    <row r="1421" spans="9:13" x14ac:dyDescent="0.25">
      <c r="I1421"/>
      <c r="J1421"/>
      <c r="K1421"/>
      <c r="L1421"/>
      <c r="M1421"/>
    </row>
    <row r="1422" spans="9:13" x14ac:dyDescent="0.25">
      <c r="I1422"/>
      <c r="J1422"/>
      <c r="K1422"/>
      <c r="L1422"/>
      <c r="M1422"/>
    </row>
    <row r="1423" spans="9:13" x14ac:dyDescent="0.25">
      <c r="I1423"/>
      <c r="J1423"/>
      <c r="K1423"/>
      <c r="L1423"/>
      <c r="M1423"/>
    </row>
    <row r="1424" spans="9:13" x14ac:dyDescent="0.25">
      <c r="I1424"/>
      <c r="J1424"/>
      <c r="K1424"/>
      <c r="L1424"/>
      <c r="M1424"/>
    </row>
    <row r="1425" spans="9:13" x14ac:dyDescent="0.25">
      <c r="I1425"/>
      <c r="J1425"/>
      <c r="K1425"/>
      <c r="L1425"/>
      <c r="M1425"/>
    </row>
    <row r="1426" spans="9:13" x14ac:dyDescent="0.25">
      <c r="I1426"/>
      <c r="J1426"/>
      <c r="K1426"/>
      <c r="L1426"/>
      <c r="M1426"/>
    </row>
    <row r="1427" spans="9:13" x14ac:dyDescent="0.25">
      <c r="I1427"/>
      <c r="J1427"/>
      <c r="K1427"/>
      <c r="L1427"/>
      <c r="M1427"/>
    </row>
    <row r="1428" spans="9:13" x14ac:dyDescent="0.25">
      <c r="I1428"/>
      <c r="J1428"/>
      <c r="K1428"/>
      <c r="L1428"/>
      <c r="M1428"/>
    </row>
    <row r="1429" spans="9:13" x14ac:dyDescent="0.25">
      <c r="I1429"/>
      <c r="J1429"/>
      <c r="K1429"/>
      <c r="L1429"/>
      <c r="M1429"/>
    </row>
    <row r="1430" spans="9:13" x14ac:dyDescent="0.25">
      <c r="I1430"/>
      <c r="J1430"/>
      <c r="K1430"/>
      <c r="L1430"/>
      <c r="M1430"/>
    </row>
    <row r="1431" spans="9:13" x14ac:dyDescent="0.25">
      <c r="I1431"/>
      <c r="J1431"/>
      <c r="K1431"/>
      <c r="L1431"/>
      <c r="M1431"/>
    </row>
    <row r="1432" spans="9:13" x14ac:dyDescent="0.25">
      <c r="I1432"/>
      <c r="J1432"/>
      <c r="K1432"/>
      <c r="L1432"/>
      <c r="M1432"/>
    </row>
    <row r="1433" spans="9:13" x14ac:dyDescent="0.25">
      <c r="I1433"/>
      <c r="J1433"/>
      <c r="K1433"/>
      <c r="L1433"/>
      <c r="M1433"/>
    </row>
    <row r="1434" spans="9:13" x14ac:dyDescent="0.25">
      <c r="I1434"/>
      <c r="J1434"/>
      <c r="K1434"/>
      <c r="L1434"/>
      <c r="M1434"/>
    </row>
    <row r="1435" spans="9:13" x14ac:dyDescent="0.25">
      <c r="I1435"/>
      <c r="J1435"/>
      <c r="K1435"/>
      <c r="L1435"/>
      <c r="M1435"/>
    </row>
    <row r="1436" spans="9:13" x14ac:dyDescent="0.25">
      <c r="I1436"/>
      <c r="J1436"/>
      <c r="K1436"/>
      <c r="L1436"/>
      <c r="M1436"/>
    </row>
    <row r="1437" spans="9:13" x14ac:dyDescent="0.25">
      <c r="I1437"/>
      <c r="J1437"/>
      <c r="K1437"/>
      <c r="L1437"/>
      <c r="M1437"/>
    </row>
    <row r="1438" spans="9:13" x14ac:dyDescent="0.25">
      <c r="I1438"/>
      <c r="J1438"/>
      <c r="K1438"/>
      <c r="L1438"/>
      <c r="M1438"/>
    </row>
    <row r="1439" spans="9:13" x14ac:dyDescent="0.25">
      <c r="I1439"/>
      <c r="J1439"/>
      <c r="K1439"/>
      <c r="L1439"/>
      <c r="M1439"/>
    </row>
    <row r="1440" spans="9:13" x14ac:dyDescent="0.25">
      <c r="I1440"/>
      <c r="J1440"/>
      <c r="K1440"/>
      <c r="L1440"/>
      <c r="M1440"/>
    </row>
    <row r="1441" spans="9:13" x14ac:dyDescent="0.25">
      <c r="I1441"/>
      <c r="J1441"/>
      <c r="K1441"/>
      <c r="L1441"/>
      <c r="M1441"/>
    </row>
    <row r="1442" spans="9:13" x14ac:dyDescent="0.25">
      <c r="I1442"/>
      <c r="J1442"/>
      <c r="K1442"/>
      <c r="L1442"/>
      <c r="M1442"/>
    </row>
    <row r="1443" spans="9:13" x14ac:dyDescent="0.25">
      <c r="I1443"/>
      <c r="J1443"/>
      <c r="K1443"/>
      <c r="L1443"/>
      <c r="M1443"/>
    </row>
    <row r="1444" spans="9:13" x14ac:dyDescent="0.25">
      <c r="I1444"/>
      <c r="J1444"/>
      <c r="K1444"/>
      <c r="L1444"/>
      <c r="M1444"/>
    </row>
    <row r="1445" spans="9:13" x14ac:dyDescent="0.25">
      <c r="I1445"/>
      <c r="J1445"/>
      <c r="K1445"/>
      <c r="L1445"/>
      <c r="M1445"/>
    </row>
    <row r="1446" spans="9:13" x14ac:dyDescent="0.25">
      <c r="I1446"/>
      <c r="J1446"/>
      <c r="K1446"/>
      <c r="L1446"/>
      <c r="M1446"/>
    </row>
    <row r="1447" spans="9:13" x14ac:dyDescent="0.25">
      <c r="I1447"/>
      <c r="J1447"/>
      <c r="K1447"/>
      <c r="L1447"/>
      <c r="M1447"/>
    </row>
    <row r="1448" spans="9:13" x14ac:dyDescent="0.25">
      <c r="I1448"/>
      <c r="J1448"/>
      <c r="K1448"/>
      <c r="L1448"/>
      <c r="M1448"/>
    </row>
    <row r="1449" spans="9:13" x14ac:dyDescent="0.25">
      <c r="I1449"/>
      <c r="J1449"/>
      <c r="K1449"/>
      <c r="L1449"/>
      <c r="M1449"/>
    </row>
    <row r="1450" spans="9:13" x14ac:dyDescent="0.25">
      <c r="I1450"/>
      <c r="J1450"/>
      <c r="K1450"/>
      <c r="L1450"/>
      <c r="M1450"/>
    </row>
    <row r="1451" spans="9:13" x14ac:dyDescent="0.25">
      <c r="I1451"/>
      <c r="J1451"/>
      <c r="K1451"/>
      <c r="L1451"/>
      <c r="M1451"/>
    </row>
    <row r="1452" spans="9:13" x14ac:dyDescent="0.25">
      <c r="I1452"/>
      <c r="J1452"/>
      <c r="K1452"/>
      <c r="L1452"/>
      <c r="M1452"/>
    </row>
    <row r="1453" spans="9:13" x14ac:dyDescent="0.25">
      <c r="I1453"/>
      <c r="J1453"/>
      <c r="K1453"/>
      <c r="L1453"/>
      <c r="M1453"/>
    </row>
    <row r="1454" spans="9:13" x14ac:dyDescent="0.25">
      <c r="I1454"/>
      <c r="J1454"/>
      <c r="K1454"/>
      <c r="L1454"/>
      <c r="M1454"/>
    </row>
    <row r="1455" spans="9:13" x14ac:dyDescent="0.25">
      <c r="I1455"/>
      <c r="J1455"/>
      <c r="K1455"/>
      <c r="L1455"/>
      <c r="M1455"/>
    </row>
    <row r="1456" spans="9:13" x14ac:dyDescent="0.25">
      <c r="I1456"/>
      <c r="J1456"/>
      <c r="K1456"/>
      <c r="L1456"/>
      <c r="M1456"/>
    </row>
    <row r="1457" spans="9:13" x14ac:dyDescent="0.25">
      <c r="I1457"/>
      <c r="J1457"/>
      <c r="K1457"/>
      <c r="L1457"/>
      <c r="M1457"/>
    </row>
    <row r="1458" spans="9:13" x14ac:dyDescent="0.25">
      <c r="I1458"/>
      <c r="J1458"/>
      <c r="K1458"/>
      <c r="L1458"/>
      <c r="M1458"/>
    </row>
    <row r="1459" spans="9:13" x14ac:dyDescent="0.25">
      <c r="I1459"/>
      <c r="J1459"/>
      <c r="K1459"/>
      <c r="L1459"/>
      <c r="M1459"/>
    </row>
    <row r="1460" spans="9:13" x14ac:dyDescent="0.25">
      <c r="I1460"/>
      <c r="J1460"/>
      <c r="K1460"/>
      <c r="L1460"/>
      <c r="M1460"/>
    </row>
    <row r="1461" spans="9:13" x14ac:dyDescent="0.25">
      <c r="I1461"/>
      <c r="J1461"/>
      <c r="K1461"/>
      <c r="L1461"/>
      <c r="M1461"/>
    </row>
    <row r="1462" spans="9:13" x14ac:dyDescent="0.25">
      <c r="I1462"/>
      <c r="J1462"/>
      <c r="K1462"/>
      <c r="L1462"/>
      <c r="M1462"/>
    </row>
    <row r="1463" spans="9:13" x14ac:dyDescent="0.25">
      <c r="I1463"/>
      <c r="J1463"/>
      <c r="K1463"/>
      <c r="L1463"/>
      <c r="M1463"/>
    </row>
    <row r="1464" spans="9:13" x14ac:dyDescent="0.25">
      <c r="I1464"/>
      <c r="J1464"/>
      <c r="K1464"/>
      <c r="L1464"/>
      <c r="M1464"/>
    </row>
    <row r="1465" spans="9:13" x14ac:dyDescent="0.25">
      <c r="I1465"/>
      <c r="J1465"/>
      <c r="K1465"/>
      <c r="L1465"/>
      <c r="M1465"/>
    </row>
    <row r="1466" spans="9:13" x14ac:dyDescent="0.25">
      <c r="I1466"/>
      <c r="J1466"/>
      <c r="K1466"/>
      <c r="L1466"/>
      <c r="M1466"/>
    </row>
    <row r="1467" spans="9:13" x14ac:dyDescent="0.25">
      <c r="I1467"/>
      <c r="J1467"/>
      <c r="K1467"/>
      <c r="L1467"/>
      <c r="M1467"/>
    </row>
    <row r="1468" spans="9:13" x14ac:dyDescent="0.25">
      <c r="I1468"/>
      <c r="J1468"/>
      <c r="K1468"/>
      <c r="L1468"/>
      <c r="M1468"/>
    </row>
    <row r="1469" spans="9:13" x14ac:dyDescent="0.25">
      <c r="I1469"/>
      <c r="J1469"/>
      <c r="K1469"/>
      <c r="L1469"/>
      <c r="M1469"/>
    </row>
    <row r="1470" spans="9:13" x14ac:dyDescent="0.25">
      <c r="I1470"/>
      <c r="J1470"/>
      <c r="K1470"/>
      <c r="L1470"/>
      <c r="M1470"/>
    </row>
    <row r="1471" spans="9:13" x14ac:dyDescent="0.25">
      <c r="I1471"/>
      <c r="J1471"/>
      <c r="K1471"/>
      <c r="L1471"/>
      <c r="M1471"/>
    </row>
    <row r="1472" spans="9:13" x14ac:dyDescent="0.25">
      <c r="I1472"/>
      <c r="J1472"/>
      <c r="K1472"/>
      <c r="L1472"/>
      <c r="M1472"/>
    </row>
    <row r="1473" spans="9:13" x14ac:dyDescent="0.25">
      <c r="I1473"/>
      <c r="J1473"/>
      <c r="K1473"/>
      <c r="L1473"/>
      <c r="M1473"/>
    </row>
    <row r="1474" spans="9:13" x14ac:dyDescent="0.25">
      <c r="I1474"/>
      <c r="J1474"/>
      <c r="K1474"/>
      <c r="L1474"/>
      <c r="M1474"/>
    </row>
    <row r="1475" spans="9:13" x14ac:dyDescent="0.25">
      <c r="I1475"/>
      <c r="J1475"/>
      <c r="K1475"/>
      <c r="L1475"/>
      <c r="M1475"/>
    </row>
    <row r="1476" spans="9:13" x14ac:dyDescent="0.25">
      <c r="I1476"/>
      <c r="J1476"/>
      <c r="K1476"/>
      <c r="L1476"/>
      <c r="M1476"/>
    </row>
    <row r="1477" spans="9:13" x14ac:dyDescent="0.25">
      <c r="I1477"/>
      <c r="J1477"/>
      <c r="K1477"/>
      <c r="L1477"/>
      <c r="M1477"/>
    </row>
    <row r="1478" spans="9:13" x14ac:dyDescent="0.25">
      <c r="I1478"/>
      <c r="J1478"/>
      <c r="K1478"/>
      <c r="L1478"/>
      <c r="M1478"/>
    </row>
    <row r="1479" spans="9:13" x14ac:dyDescent="0.25">
      <c r="I1479"/>
      <c r="J1479"/>
      <c r="K1479"/>
      <c r="L1479"/>
      <c r="M1479"/>
    </row>
    <row r="1480" spans="9:13" x14ac:dyDescent="0.25">
      <c r="I1480"/>
      <c r="J1480"/>
      <c r="K1480"/>
      <c r="L1480"/>
      <c r="M1480"/>
    </row>
    <row r="1481" spans="9:13" x14ac:dyDescent="0.25">
      <c r="I1481"/>
      <c r="J1481"/>
      <c r="K1481"/>
      <c r="L1481"/>
      <c r="M1481"/>
    </row>
    <row r="1482" spans="9:13" x14ac:dyDescent="0.25">
      <c r="I1482"/>
      <c r="J1482"/>
      <c r="K1482"/>
      <c r="L1482"/>
      <c r="M1482"/>
    </row>
    <row r="1483" spans="9:13" x14ac:dyDescent="0.25">
      <c r="I1483"/>
      <c r="J1483"/>
      <c r="K1483"/>
      <c r="L1483"/>
      <c r="M1483"/>
    </row>
    <row r="1484" spans="9:13" x14ac:dyDescent="0.25">
      <c r="I1484"/>
      <c r="J1484"/>
      <c r="K1484"/>
      <c r="L1484"/>
      <c r="M1484"/>
    </row>
    <row r="1485" spans="9:13" x14ac:dyDescent="0.25">
      <c r="I1485"/>
      <c r="J1485"/>
      <c r="K1485"/>
      <c r="L1485"/>
      <c r="M1485"/>
    </row>
    <row r="1486" spans="9:13" x14ac:dyDescent="0.25">
      <c r="I1486"/>
      <c r="J1486"/>
      <c r="K1486"/>
      <c r="L1486"/>
      <c r="M1486"/>
    </row>
    <row r="1487" spans="9:13" x14ac:dyDescent="0.25">
      <c r="I1487"/>
      <c r="J1487"/>
      <c r="K1487"/>
      <c r="L1487"/>
      <c r="M1487"/>
    </row>
    <row r="1488" spans="9:13" x14ac:dyDescent="0.25">
      <c r="I1488"/>
      <c r="J1488"/>
      <c r="K1488"/>
      <c r="L1488"/>
      <c r="M1488"/>
    </row>
    <row r="1489" spans="9:13" x14ac:dyDescent="0.25">
      <c r="I1489"/>
      <c r="J1489"/>
      <c r="K1489"/>
      <c r="L1489"/>
      <c r="M1489"/>
    </row>
    <row r="1490" spans="9:13" x14ac:dyDescent="0.25">
      <c r="I1490"/>
      <c r="J1490"/>
      <c r="K1490"/>
      <c r="L1490"/>
      <c r="M1490"/>
    </row>
    <row r="1491" spans="9:13" x14ac:dyDescent="0.25">
      <c r="I1491"/>
      <c r="J1491"/>
      <c r="K1491"/>
      <c r="L1491"/>
      <c r="M1491"/>
    </row>
    <row r="1492" spans="9:13" x14ac:dyDescent="0.25">
      <c r="I1492"/>
      <c r="J1492"/>
      <c r="K1492"/>
      <c r="L1492"/>
      <c r="M1492"/>
    </row>
    <row r="1493" spans="9:13" x14ac:dyDescent="0.25">
      <c r="I1493"/>
      <c r="J1493"/>
      <c r="K1493"/>
      <c r="L1493"/>
      <c r="M1493"/>
    </row>
    <row r="1494" spans="9:13" x14ac:dyDescent="0.25">
      <c r="I1494"/>
      <c r="J1494"/>
      <c r="K1494"/>
      <c r="L1494"/>
      <c r="M1494"/>
    </row>
    <row r="1495" spans="9:13" x14ac:dyDescent="0.25">
      <c r="I1495"/>
      <c r="J1495"/>
      <c r="K1495"/>
      <c r="L1495"/>
      <c r="M1495"/>
    </row>
    <row r="1496" spans="9:13" x14ac:dyDescent="0.25">
      <c r="I1496"/>
      <c r="J1496"/>
      <c r="K1496"/>
      <c r="L1496"/>
      <c r="M1496"/>
    </row>
    <row r="1497" spans="9:13" x14ac:dyDescent="0.25">
      <c r="I1497"/>
      <c r="J1497"/>
      <c r="K1497"/>
      <c r="L1497"/>
      <c r="M1497"/>
    </row>
    <row r="1498" spans="9:13" x14ac:dyDescent="0.25">
      <c r="I1498"/>
      <c r="J1498"/>
      <c r="K1498"/>
      <c r="L1498"/>
      <c r="M1498"/>
    </row>
    <row r="1499" spans="9:13" x14ac:dyDescent="0.25">
      <c r="I1499"/>
      <c r="J1499"/>
      <c r="K1499"/>
      <c r="L1499"/>
      <c r="M1499"/>
    </row>
    <row r="1500" spans="9:13" x14ac:dyDescent="0.25">
      <c r="I1500"/>
      <c r="J1500"/>
      <c r="K1500"/>
      <c r="L1500"/>
      <c r="M1500"/>
    </row>
    <row r="1501" spans="9:13" x14ac:dyDescent="0.25">
      <c r="I1501"/>
      <c r="J1501"/>
      <c r="K1501"/>
      <c r="L1501"/>
      <c r="M1501"/>
    </row>
  </sheetData>
  <mergeCells count="7">
    <mergeCell ref="B10:F10"/>
    <mergeCell ref="B2:G2"/>
    <mergeCell ref="B3:G3"/>
    <mergeCell ref="C5:G5"/>
    <mergeCell ref="C6:G6"/>
    <mergeCell ref="C7:G7"/>
    <mergeCell ref="C8:G8"/>
  </mergeCells>
  <conditionalFormatting sqref="C8">
    <cfRule type="cellIs" dxfId="242" priority="19" operator="equal">
      <formula>"Erro"</formula>
    </cfRule>
  </conditionalFormatting>
  <conditionalFormatting sqref="P3:P6">
    <cfRule type="cellIs" dxfId="241" priority="17" operator="equal">
      <formula>FALSE</formula>
    </cfRule>
    <cfRule type="cellIs" dxfId="240" priority="18" operator="equal">
      <formula>TRUE</formula>
    </cfRule>
  </conditionalFormatting>
  <conditionalFormatting sqref="P7">
    <cfRule type="cellIs" dxfId="239" priority="15" operator="equal">
      <formula>"Erro"</formula>
    </cfRule>
    <cfRule type="cellIs" dxfId="238" priority="16" operator="equal">
      <formula>"OK"</formula>
    </cfRule>
  </conditionalFormatting>
  <conditionalFormatting sqref="P28:P32">
    <cfRule type="cellIs" dxfId="237" priority="13" operator="equal">
      <formula>0</formula>
    </cfRule>
    <cfRule type="cellIs" dxfId="236" priority="14" operator="equal">
      <formula>1</formula>
    </cfRule>
  </conditionalFormatting>
  <conditionalFormatting sqref="P18:P22 P45 P49 P51 P53 P55 P57">
    <cfRule type="cellIs" dxfId="235" priority="9" stopIfTrue="1" operator="equal">
      <formula>"""-"""</formula>
    </cfRule>
    <cfRule type="cellIs" dxfId="234" priority="10" operator="greaterThanOrEqual">
      <formula>1</formula>
    </cfRule>
  </conditionalFormatting>
  <conditionalFormatting sqref="G10">
    <cfRule type="cellIs" dxfId="233" priority="8" operator="equal">
      <formula>"Erro"</formula>
    </cfRule>
  </conditionalFormatting>
  <conditionalFormatting sqref="J3:J6">
    <cfRule type="cellIs" dxfId="232" priority="6" operator="equal">
      <formula>"TRUE"</formula>
    </cfRule>
    <cfRule type="cellIs" dxfId="231" priority="7" operator="equal">
      <formula>"FALSE"</formula>
    </cfRule>
  </conditionalFormatting>
  <conditionalFormatting sqref="J7">
    <cfRule type="cellIs" dxfId="230" priority="4" operator="equal">
      <formula>"TRUE"</formula>
    </cfRule>
    <cfRule type="cellIs" dxfId="229" priority="5" operator="equal">
      <formula>"FALSE"</formula>
    </cfRule>
  </conditionalFormatting>
  <conditionalFormatting sqref="E13:E21">
    <cfRule type="cellIs" dxfId="228" priority="1" operator="greaterThanOrEqual">
      <formula>1</formula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1" operator="greaterThanOrEqual" id="{7D6CFE2F-F655-4405-9285-D5E6C84E1962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" operator="lessThan" id="{69A80DFE-9FB2-4453-813D-70F53F793056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P18:P22 P45 P49 P51 P53 P55 P57</xm:sqref>
        </x14:conditionalFormatting>
        <x14:conditionalFormatting xmlns:xm="http://schemas.microsoft.com/office/excel/2006/main">
          <x14:cfRule type="cellIs" priority="2" operator="greaterThanOrEqual" id="{4095B62C-BB8C-42D6-82B7-FEC9C94AA49A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" operator="lessThan" id="{218C6755-D762-44C7-9CA9-F811490D0230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E13:E21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EA14-E6FD-47B2-8FA3-BD8733C615F4}">
  <sheetPr codeName="Planilha8">
    <tabColor theme="9" tint="-0.249977111117893"/>
  </sheetPr>
  <dimension ref="B1:P1501"/>
  <sheetViews>
    <sheetView showGridLines="0" workbookViewId="0">
      <selection activeCell="I21" sqref="I21"/>
    </sheetView>
  </sheetViews>
  <sheetFormatPr defaultRowHeight="15" x14ac:dyDescent="0.25"/>
  <cols>
    <col min="1" max="1" width="2.7109375" style="1" customWidth="1"/>
    <col min="2" max="2" width="24.140625" style="1" bestFit="1" customWidth="1"/>
    <col min="3" max="7" width="16.7109375" style="1" customWidth="1"/>
    <col min="8" max="8" width="4.140625" style="1" customWidth="1"/>
    <col min="9" max="9" width="88" style="1" customWidth="1"/>
    <col min="10" max="12" width="18.7109375" style="1" customWidth="1"/>
    <col min="13" max="13" width="9.7109375" style="1" bestFit="1" customWidth="1"/>
    <col min="14" max="14" width="11" style="1" customWidth="1"/>
    <col min="15" max="15" width="24.140625" style="1" bestFit="1" customWidth="1"/>
    <col min="16" max="16" width="34.5703125" style="1" customWidth="1"/>
    <col min="17" max="16384" width="9.140625" style="1"/>
  </cols>
  <sheetData>
    <row r="1" spans="2:16" x14ac:dyDescent="0.25">
      <c r="I1" s="65" t="s">
        <v>196</v>
      </c>
      <c r="J1" t="s" vm="9">
        <v>98</v>
      </c>
      <c r="K1"/>
      <c r="N1" s="67">
        <v>1</v>
      </c>
      <c r="O1" s="68" t="s">
        <v>214</v>
      </c>
      <c r="P1" s="69" t="str">
        <f>IFERROR(VLOOKUP($J$1,Representantes_IV[],$N1,0),"-")</f>
        <v>bruna.claro@cslbehring.com</v>
      </c>
    </row>
    <row r="2" spans="2:16" x14ac:dyDescent="0.25">
      <c r="B2" s="117" t="s">
        <v>289</v>
      </c>
      <c r="C2" s="117"/>
      <c r="D2" s="117"/>
      <c r="E2" s="117"/>
      <c r="F2" s="117"/>
      <c r="G2" s="117"/>
      <c r="I2" s="65" t="s">
        <v>52</v>
      </c>
      <c r="J2" t="s" vm="1">
        <v>53</v>
      </c>
      <c r="K2"/>
      <c r="N2" s="67">
        <v>2</v>
      </c>
      <c r="O2" s="68" t="s">
        <v>215</v>
      </c>
      <c r="P2" s="69" t="str">
        <f>IFERROR(VLOOKUP($J$1,Representantes_IV[],$N2,0),"-")</f>
        <v>BRUNA CLARO ESP (SPI)</v>
      </c>
    </row>
    <row r="3" spans="2:16" x14ac:dyDescent="0.25">
      <c r="B3" s="117" t="str">
        <f>"Relatório atualizado em " &amp; TEXT(Ultima_Atualizacao_RPT[[#This Row],[Ultima-Atualizacao-RPT]],"dd/mm/aaaa") &amp; " Dados Atualizados em " &amp; TEXT(Ultima_Atualizacao_DADOS[[#This Row],[Ultima-Atualizacao-Dados]],"dd/mm/aaaa")</f>
        <v>Relatório atualizado em 18/08/2020 Dados Atualizados em 18/08/2020</v>
      </c>
      <c r="C3" s="117"/>
      <c r="D3" s="117"/>
      <c r="E3" s="117"/>
      <c r="F3" s="117"/>
      <c r="G3" s="117"/>
      <c r="I3" s="65" t="s">
        <v>153</v>
      </c>
      <c r="J3" t="s" vm="8">
        <v>286</v>
      </c>
      <c r="K3"/>
      <c r="N3" s="67">
        <v>3</v>
      </c>
      <c r="O3" s="68" t="s">
        <v>153</v>
      </c>
      <c r="P3" s="69" t="b">
        <f>IFERROR(VLOOKUP($J$1,Representantes_IV[],$N3,0),"-")</f>
        <v>1</v>
      </c>
    </row>
    <row r="4" spans="2:16" ht="21" x14ac:dyDescent="0.25">
      <c r="B4" s="79" t="s">
        <v>282</v>
      </c>
      <c r="I4" s="65" t="s">
        <v>93</v>
      </c>
      <c r="J4" t="s" vm="7">
        <v>286</v>
      </c>
      <c r="K4"/>
      <c r="N4" s="67">
        <v>4</v>
      </c>
      <c r="O4" s="68" t="s">
        <v>157</v>
      </c>
      <c r="P4" s="69" t="b">
        <f>IFERROR(VLOOKUP($J$1,Representantes_IV[],$N4,0),"-")</f>
        <v>0</v>
      </c>
    </row>
    <row r="5" spans="2:16" x14ac:dyDescent="0.25">
      <c r="I5" s="65" t="s">
        <v>108</v>
      </c>
      <c r="J5" t="s" vm="3">
        <v>287</v>
      </c>
      <c r="K5"/>
      <c r="L5"/>
      <c r="M5"/>
      <c r="N5" s="67">
        <v>5</v>
      </c>
      <c r="O5" s="68" t="s">
        <v>93</v>
      </c>
      <c r="P5" s="69" t="b">
        <f>IFERROR(VLOOKUP($J$1,Representantes_IV[],$N5,0),"-")</f>
        <v>1</v>
      </c>
    </row>
    <row r="6" spans="2:16" x14ac:dyDescent="0.25">
      <c r="B6" s="78" t="s">
        <v>280</v>
      </c>
      <c r="C6" s="118" t="str" cm="1">
        <f t="array" ref="C6">Datas[AnoMes-Fiscal]</f>
        <v>2020/2021 (01-Jul)</v>
      </c>
      <c r="D6" s="118"/>
      <c r="E6" s="118"/>
      <c r="F6" s="118"/>
      <c r="G6" s="118"/>
      <c r="I6" s="65" t="s">
        <v>109</v>
      </c>
      <c r="J6" t="s" vm="4">
        <v>287</v>
      </c>
      <c r="K6"/>
      <c r="L6"/>
      <c r="M6"/>
      <c r="N6" s="67">
        <v>6</v>
      </c>
      <c r="O6" s="68" t="s">
        <v>158</v>
      </c>
      <c r="P6" s="69" t="b">
        <f>IFERROR(VLOOKUP($J$1,Representantes_IV[],$N6,0),"-")</f>
        <v>0</v>
      </c>
    </row>
    <row r="7" spans="2:16" ht="15.75" x14ac:dyDescent="0.25">
      <c r="B7" s="78" t="s">
        <v>215</v>
      </c>
      <c r="C7" s="119" t="str">
        <f>P2</f>
        <v>BRUNA CLARO ESP (SPI)</v>
      </c>
      <c r="D7" s="119"/>
      <c r="E7" s="119"/>
      <c r="F7" s="119"/>
      <c r="G7" s="119"/>
      <c r="I7" s="65" t="s">
        <v>92</v>
      </c>
      <c r="J7" t="s" vm="5">
        <v>286</v>
      </c>
      <c r="K7"/>
      <c r="L7"/>
      <c r="M7"/>
      <c r="N7" s="67">
        <v>7</v>
      </c>
      <c r="O7" s="68" t="s">
        <v>217</v>
      </c>
      <c r="P7" s="69" t="str">
        <f>IFERROR(VLOOKUP($J$1,Representantes_IV[],$N7,0),"-")</f>
        <v>OK</v>
      </c>
    </row>
    <row r="8" spans="2:16" x14ac:dyDescent="0.25">
      <c r="B8" s="78" t="s">
        <v>279</v>
      </c>
      <c r="C8" s="118" t="str">
        <f>P1</f>
        <v>bruna.claro@cslbehring.com</v>
      </c>
      <c r="D8" s="118"/>
      <c r="E8" s="118"/>
      <c r="F8" s="118"/>
      <c r="G8" s="118"/>
      <c r="I8"/>
      <c r="J8"/>
      <c r="K8"/>
      <c r="L8"/>
      <c r="M8"/>
      <c r="N8" s="67">
        <v>8</v>
      </c>
      <c r="O8" s="68" t="s">
        <v>178</v>
      </c>
      <c r="P8" s="70">
        <f>IFERROR(VLOOKUP($J$1,Representantes_IV[],$N8,0),"-")</f>
        <v>3</v>
      </c>
    </row>
    <row r="9" spans="2:16" x14ac:dyDescent="0.25">
      <c r="B9" s="78" t="s">
        <v>269</v>
      </c>
      <c r="C9" s="118" t="str">
        <f>IF(P4=TRUE,"Hospitalar",IF(P5=TRUE,"Especialidades",IF(P6=TRUE,"Equipe Mista","Erro")))</f>
        <v>Especialidades</v>
      </c>
      <c r="D9" s="118"/>
      <c r="E9" s="118"/>
      <c r="F9" s="118"/>
      <c r="G9" s="118"/>
      <c r="I9" s="65" t="s">
        <v>288</v>
      </c>
      <c r="J9" s="65" t="s">
        <v>285</v>
      </c>
      <c r="K9"/>
      <c r="L9"/>
      <c r="M9"/>
      <c r="N9" s="67">
        <v>9</v>
      </c>
      <c r="O9" s="68" t="s">
        <v>179</v>
      </c>
      <c r="P9" s="70">
        <f>IFERROR(VLOOKUP($J$1,Representantes_IV[],$N9,0),"-")</f>
        <v>56</v>
      </c>
    </row>
    <row r="10" spans="2:16" x14ac:dyDescent="0.25">
      <c r="I10" s="65" t="s">
        <v>267</v>
      </c>
      <c r="J10" s="45" t="s">
        <v>6</v>
      </c>
      <c r="K10" s="45" t="s">
        <v>11</v>
      </c>
      <c r="L10" s="45" t="s">
        <v>12</v>
      </c>
      <c r="M10"/>
      <c r="N10" s="67">
        <v>10</v>
      </c>
      <c r="O10" s="68" t="s">
        <v>180</v>
      </c>
      <c r="P10" s="70">
        <f>IFERROR(VLOOKUP($J$1,Representantes_IV[],$N10,0),"-")</f>
        <v>22</v>
      </c>
    </row>
    <row r="11" spans="2:16" ht="15.75" x14ac:dyDescent="0.25">
      <c r="B11" s="116" t="s">
        <v>281</v>
      </c>
      <c r="C11" s="116"/>
      <c r="D11" s="116"/>
      <c r="E11" s="116"/>
      <c r="F11" s="116"/>
      <c r="G11" s="80">
        <f ca="1">IF(SUM(G14:G22)&lt;&gt;P59,"Erro",SUM(G14:G22))</f>
        <v>4204.1077999999998</v>
      </c>
      <c r="I11" s="66" t="s">
        <v>312</v>
      </c>
      <c r="J11" s="85"/>
      <c r="K11" s="85">
        <v>36</v>
      </c>
      <c r="L11" s="85"/>
      <c r="M11"/>
      <c r="N11" s="67">
        <v>11</v>
      </c>
      <c r="O11" s="68" t="s">
        <v>181</v>
      </c>
      <c r="P11" s="70">
        <f>IFERROR(VLOOKUP($J$1,Representantes_IV[],$N11,0),"-")</f>
        <v>1179</v>
      </c>
    </row>
    <row r="12" spans="2:16" x14ac:dyDescent="0.25">
      <c r="I12" s="66" t="s">
        <v>313</v>
      </c>
      <c r="J12" s="85"/>
      <c r="K12" s="85">
        <v>66</v>
      </c>
      <c r="L12" s="85"/>
      <c r="M12"/>
      <c r="N12" s="67">
        <v>12</v>
      </c>
      <c r="O12" s="68" t="s">
        <v>182</v>
      </c>
      <c r="P12" s="70">
        <f>IFERROR(VLOOKUP($J$1,Representantes_IV[],$N12,0),"-")</f>
        <v>3130</v>
      </c>
    </row>
    <row r="13" spans="2:16" x14ac:dyDescent="0.25">
      <c r="B13" s="81" t="s">
        <v>283</v>
      </c>
      <c r="C13" s="81" t="s">
        <v>270</v>
      </c>
      <c r="D13" s="81" t="s">
        <v>273</v>
      </c>
      <c r="E13" s="81" t="s">
        <v>271</v>
      </c>
      <c r="F13" s="81" t="s">
        <v>213</v>
      </c>
      <c r="G13" s="81" t="s">
        <v>272</v>
      </c>
      <c r="I13" s="66" t="s">
        <v>314</v>
      </c>
      <c r="J13" s="85"/>
      <c r="K13" s="85">
        <v>90</v>
      </c>
      <c r="L13" s="85"/>
      <c r="M13"/>
      <c r="N13" s="67">
        <v>13</v>
      </c>
      <c r="O13" s="68" t="s">
        <v>165</v>
      </c>
      <c r="P13" s="70">
        <f>IFERROR(VLOOKUP($J$1,Representantes_IV[],$N13,0),"-")</f>
        <v>19.88</v>
      </c>
    </row>
    <row r="14" spans="2:16" x14ac:dyDescent="0.25">
      <c r="B14" s="71" t="str">
        <f>O8</f>
        <v>Demanda BERINERT</v>
      </c>
      <c r="C14" s="72">
        <f>P13</f>
        <v>19.88</v>
      </c>
      <c r="D14" s="72">
        <f>P8</f>
        <v>3</v>
      </c>
      <c r="E14" s="73">
        <f>P18</f>
        <v>0.151</v>
      </c>
      <c r="F14" s="73">
        <f>P28</f>
        <v>1</v>
      </c>
      <c r="G14" s="74">
        <f ca="1">P38</f>
        <v>188.0412</v>
      </c>
      <c r="I14" s="66" t="s">
        <v>315</v>
      </c>
      <c r="J14" s="85"/>
      <c r="K14" s="85">
        <v>8</v>
      </c>
      <c r="L14" s="85"/>
      <c r="M14"/>
      <c r="N14" s="67">
        <v>14</v>
      </c>
      <c r="O14" s="68" t="s">
        <v>166</v>
      </c>
      <c r="P14" s="70">
        <f>IFERROR(VLOOKUP($J$1,Representantes_IV[],$N14,0),"-")</f>
        <v>0</v>
      </c>
    </row>
    <row r="15" spans="2:16" x14ac:dyDescent="0.25">
      <c r="B15" s="71" t="str">
        <f>O11</f>
        <v>Demanda HIZENTRA</v>
      </c>
      <c r="C15" s="72">
        <f>P16</f>
        <v>1343</v>
      </c>
      <c r="D15" s="72">
        <f>P11</f>
        <v>1179</v>
      </c>
      <c r="E15" s="73">
        <f>P21</f>
        <v>0.878</v>
      </c>
      <c r="F15" s="73">
        <f>P31</f>
        <v>1</v>
      </c>
      <c r="G15" s="74">
        <f ca="1">P41</f>
        <v>564.12350000000004</v>
      </c>
      <c r="I15" s="66" t="s">
        <v>295</v>
      </c>
      <c r="J15" s="85"/>
      <c r="K15" s="85">
        <v>6</v>
      </c>
      <c r="L15" s="85">
        <v>80</v>
      </c>
      <c r="M15"/>
      <c r="N15" s="67">
        <v>15</v>
      </c>
      <c r="O15" s="68" t="s">
        <v>167</v>
      </c>
      <c r="P15" s="70">
        <f>IFERROR(VLOOKUP($J$1,Representantes_IV[],$N15,0),"-")</f>
        <v>0</v>
      </c>
    </row>
    <row r="16" spans="2:16" x14ac:dyDescent="0.25">
      <c r="B16" s="71" t="str">
        <f>O12</f>
        <v>Demanda PRIVIGEN</v>
      </c>
      <c r="C16" s="72">
        <f>P17</f>
        <v>8842.17</v>
      </c>
      <c r="D16" s="72">
        <f>P12</f>
        <v>3130</v>
      </c>
      <c r="E16" s="73">
        <f>P22</f>
        <v>0.35399999999999998</v>
      </c>
      <c r="F16" s="73">
        <f>P32</f>
        <v>1</v>
      </c>
      <c r="G16" s="74">
        <f ca="1">P42</f>
        <v>188.0412</v>
      </c>
      <c r="I16" s="66" t="s">
        <v>296</v>
      </c>
      <c r="J16" s="85"/>
      <c r="K16" s="85"/>
      <c r="L16" s="85">
        <v>165</v>
      </c>
      <c r="M16"/>
      <c r="N16" s="67">
        <v>16</v>
      </c>
      <c r="O16" s="68" t="s">
        <v>168</v>
      </c>
      <c r="P16" s="70">
        <f>IFERROR(VLOOKUP($J$1,Representantes_IV[],$N16,0),"-")</f>
        <v>1343</v>
      </c>
    </row>
    <row r="17" spans="2:16" x14ac:dyDescent="0.25">
      <c r="B17" s="71" t="s">
        <v>278</v>
      </c>
      <c r="C17" s="74">
        <f>P43</f>
        <v>24875647.060000017</v>
      </c>
      <c r="D17" s="74">
        <f>P44</f>
        <v>30797896.699999992</v>
      </c>
      <c r="E17" s="73">
        <f>P45</f>
        <v>1.2389999999999999</v>
      </c>
      <c r="F17" s="90"/>
      <c r="G17" s="74">
        <f>P46</f>
        <v>631.32569999999998</v>
      </c>
      <c r="I17" s="66" t="s">
        <v>316</v>
      </c>
      <c r="J17" s="85"/>
      <c r="K17" s="85">
        <v>39</v>
      </c>
      <c r="L17" s="85"/>
      <c r="M17"/>
      <c r="N17" s="67">
        <v>17</v>
      </c>
      <c r="O17" s="68" t="s">
        <v>169</v>
      </c>
      <c r="P17" s="70">
        <f>IFERROR(VLOOKUP($J$1,Representantes_IV[],$N17,0),"-")</f>
        <v>8842.17</v>
      </c>
    </row>
    <row r="18" spans="2:16" x14ac:dyDescent="0.25">
      <c r="B18" s="71" t="s">
        <v>255</v>
      </c>
      <c r="C18" s="71">
        <f>P47</f>
        <v>84</v>
      </c>
      <c r="D18" s="71">
        <f>P48</f>
        <v>84</v>
      </c>
      <c r="E18" s="73">
        <f>P49</f>
        <v>1</v>
      </c>
      <c r="F18" s="90"/>
      <c r="G18" s="74">
        <f>P50</f>
        <v>376.08229999999998</v>
      </c>
      <c r="I18" s="66" t="s">
        <v>297</v>
      </c>
      <c r="J18" s="85"/>
      <c r="K18" s="85"/>
      <c r="L18" s="85">
        <v>500</v>
      </c>
      <c r="M18"/>
      <c r="N18" s="67">
        <v>18</v>
      </c>
      <c r="O18" s="68" t="s">
        <v>184</v>
      </c>
      <c r="P18" s="75">
        <f>IFERROR(VLOOKUP($J$1,Representantes_IV[],$N18,0),"-")</f>
        <v>0.151</v>
      </c>
    </row>
    <row r="19" spans="2:16" x14ac:dyDescent="0.25">
      <c r="B19" s="71" t="s">
        <v>274</v>
      </c>
      <c r="C19" s="89"/>
      <c r="D19" s="89"/>
      <c r="E19" s="73">
        <f>P51</f>
        <v>1</v>
      </c>
      <c r="F19" s="90"/>
      <c r="G19" s="74">
        <f>P52</f>
        <v>376.08229999999998</v>
      </c>
      <c r="I19" s="66" t="s">
        <v>298</v>
      </c>
      <c r="J19" s="85"/>
      <c r="K19" s="85"/>
      <c r="L19" s="85">
        <v>35</v>
      </c>
      <c r="M19"/>
      <c r="N19" s="67">
        <v>19</v>
      </c>
      <c r="O19" s="68" t="s">
        <v>185</v>
      </c>
      <c r="P19" s="75" t="str">
        <f>IFERROR(VLOOKUP($J$1,Representantes_IV[],$N19,0),"-")</f>
        <v>-</v>
      </c>
    </row>
    <row r="20" spans="2:16" x14ac:dyDescent="0.25">
      <c r="B20" s="71" t="s">
        <v>275</v>
      </c>
      <c r="C20" s="89"/>
      <c r="D20" s="89"/>
      <c r="E20" s="73">
        <f>P53</f>
        <v>1</v>
      </c>
      <c r="F20" s="90"/>
      <c r="G20" s="74">
        <f>P54</f>
        <v>1128.2470000000001</v>
      </c>
      <c r="I20" s="66" t="s">
        <v>299</v>
      </c>
      <c r="J20" s="85"/>
      <c r="K20" s="85">
        <v>20</v>
      </c>
      <c r="L20" s="85"/>
      <c r="M20"/>
      <c r="N20" s="67">
        <v>20</v>
      </c>
      <c r="O20" s="68" t="s">
        <v>186</v>
      </c>
      <c r="P20" s="75" t="str">
        <f>IFERROR(VLOOKUP($J$1,Representantes_IV[],$N20,0),"-")</f>
        <v>-</v>
      </c>
    </row>
    <row r="21" spans="2:16" x14ac:dyDescent="0.25">
      <c r="B21" s="71" t="s">
        <v>276</v>
      </c>
      <c r="C21" s="89"/>
      <c r="D21" s="89"/>
      <c r="E21" s="73">
        <f>P55</f>
        <v>1</v>
      </c>
      <c r="F21" s="90"/>
      <c r="G21" s="74">
        <f>P56</f>
        <v>376.08229999999998</v>
      </c>
      <c r="I21" s="66" t="s">
        <v>317</v>
      </c>
      <c r="J21" s="85"/>
      <c r="K21" s="85">
        <v>64</v>
      </c>
      <c r="L21" s="85"/>
      <c r="M21"/>
      <c r="N21" s="67">
        <v>21</v>
      </c>
      <c r="O21" s="68" t="s">
        <v>187</v>
      </c>
      <c r="P21" s="75">
        <f>IFERROR(VLOOKUP($J$1,Representantes_IV[],$N21,0),"-")</f>
        <v>0.878</v>
      </c>
    </row>
    <row r="22" spans="2:16" x14ac:dyDescent="0.25">
      <c r="B22" s="71" t="s">
        <v>277</v>
      </c>
      <c r="C22" s="89"/>
      <c r="D22" s="89"/>
      <c r="E22" s="73">
        <f>P57</f>
        <v>1</v>
      </c>
      <c r="F22" s="90"/>
      <c r="G22" s="74">
        <f>P58</f>
        <v>376.08229999999998</v>
      </c>
      <c r="I22" s="66" t="s">
        <v>300</v>
      </c>
      <c r="J22" s="85"/>
      <c r="K22" s="85"/>
      <c r="L22" s="85">
        <v>375</v>
      </c>
      <c r="M22"/>
      <c r="N22" s="67">
        <v>22</v>
      </c>
      <c r="O22" s="68" t="s">
        <v>188</v>
      </c>
      <c r="P22" s="75">
        <f>IFERROR(VLOOKUP($J$1,Representantes_IV[],$N22,0),"-")</f>
        <v>0.35399999999999998</v>
      </c>
    </row>
    <row r="23" spans="2:16" x14ac:dyDescent="0.25">
      <c r="I23" s="66" t="s">
        <v>301</v>
      </c>
      <c r="J23" s="85"/>
      <c r="K23" s="85"/>
      <c r="L23" s="85">
        <v>50</v>
      </c>
      <c r="M23"/>
      <c r="N23" s="67">
        <v>23</v>
      </c>
      <c r="O23" s="68" t="s">
        <v>224</v>
      </c>
      <c r="P23" s="77">
        <f>IFERROR(VLOOKUP($J$1,Representantes_IV[],$N23,0),"-")</f>
        <v>0</v>
      </c>
    </row>
    <row r="24" spans="2:16" ht="15.75" x14ac:dyDescent="0.25">
      <c r="B24" s="88" t="str">
        <f>"Demanda " &amp;C6</f>
        <v>Demanda 2020/2021 (01-Jul)</v>
      </c>
      <c r="I24" s="66" t="s">
        <v>302</v>
      </c>
      <c r="J24" s="85"/>
      <c r="K24" s="85"/>
      <c r="L24" s="85">
        <v>100</v>
      </c>
      <c r="M24"/>
      <c r="N24" s="67">
        <v>24</v>
      </c>
      <c r="O24" s="68" t="s">
        <v>225</v>
      </c>
      <c r="P24" s="77">
        <f>IFERROR(VLOOKUP($J$1,Representantes_IV[],$N24,0),"-")</f>
        <v>0</v>
      </c>
    </row>
    <row r="25" spans="2:16" x14ac:dyDescent="0.25">
      <c r="I25" s="66" t="s">
        <v>303</v>
      </c>
      <c r="J25" s="85"/>
      <c r="K25" s="85"/>
      <c r="L25" s="85">
        <v>20</v>
      </c>
      <c r="M25"/>
      <c r="N25" s="67">
        <v>25</v>
      </c>
      <c r="O25" s="68" t="s">
        <v>226</v>
      </c>
      <c r="P25" s="77">
        <f>IFERROR(VLOOKUP($J$1,Representantes_IV[],$N25,0),"-")</f>
        <v>0</v>
      </c>
    </row>
    <row r="26" spans="2:16" x14ac:dyDescent="0.25">
      <c r="I26" s="66" t="s">
        <v>318</v>
      </c>
      <c r="J26" s="85">
        <v>3</v>
      </c>
      <c r="K26" s="85"/>
      <c r="L26" s="85"/>
      <c r="M26"/>
      <c r="N26" s="67">
        <v>26</v>
      </c>
      <c r="O26" s="68" t="s">
        <v>227</v>
      </c>
      <c r="P26" s="77">
        <f>IFERROR(VLOOKUP($J$1,Representantes_IV[],$N26,0),"-")</f>
        <v>247.65020000000001</v>
      </c>
    </row>
    <row r="27" spans="2:16" x14ac:dyDescent="0.25">
      <c r="I27" s="66" t="s">
        <v>319</v>
      </c>
      <c r="J27" s="85"/>
      <c r="K27" s="85">
        <v>48</v>
      </c>
      <c r="L27" s="85"/>
      <c r="M27"/>
      <c r="N27" s="67">
        <v>27</v>
      </c>
      <c r="O27" s="68" t="s">
        <v>228</v>
      </c>
      <c r="P27" s="77">
        <f>IFERROR(VLOOKUP($J$1,Representantes_IV[],$N27,0),"-")</f>
        <v>0</v>
      </c>
    </row>
    <row r="28" spans="2:16" x14ac:dyDescent="0.25">
      <c r="I28" s="66" t="s">
        <v>304</v>
      </c>
      <c r="J28" s="85"/>
      <c r="K28" s="85"/>
      <c r="L28" s="85">
        <v>15</v>
      </c>
      <c r="M28"/>
      <c r="N28" s="67">
        <v>28</v>
      </c>
      <c r="O28" s="68" t="s">
        <v>229</v>
      </c>
      <c r="P28" s="75">
        <f>IFERROR(VLOOKUP($J$1,Representantes_IV[],$N28,0),"-")</f>
        <v>1</v>
      </c>
    </row>
    <row r="29" spans="2:16" x14ac:dyDescent="0.25">
      <c r="I29" s="66" t="s">
        <v>320</v>
      </c>
      <c r="J29" s="85"/>
      <c r="K29" s="85">
        <v>100</v>
      </c>
      <c r="L29" s="85"/>
      <c r="M29"/>
      <c r="N29" s="67">
        <v>29</v>
      </c>
      <c r="O29" s="68" t="s">
        <v>230</v>
      </c>
      <c r="P29" s="75">
        <f>IFERROR(VLOOKUP($J$1,Representantes_IV[],$N29,0),"-")</f>
        <v>0</v>
      </c>
    </row>
    <row r="30" spans="2:16" x14ac:dyDescent="0.25">
      <c r="I30" s="66" t="s">
        <v>321</v>
      </c>
      <c r="J30" s="85"/>
      <c r="K30" s="85">
        <v>160</v>
      </c>
      <c r="L30" s="85"/>
      <c r="M30"/>
      <c r="N30" s="67">
        <v>30</v>
      </c>
      <c r="O30" s="68" t="s">
        <v>231</v>
      </c>
      <c r="P30" s="75">
        <f>IFERROR(VLOOKUP($J$1,Representantes_IV[],$N30,0),"-")</f>
        <v>0</v>
      </c>
    </row>
    <row r="31" spans="2:16" x14ac:dyDescent="0.25">
      <c r="I31" s="66" t="s">
        <v>322</v>
      </c>
      <c r="J31" s="85"/>
      <c r="K31" s="85">
        <v>4</v>
      </c>
      <c r="L31" s="85"/>
      <c r="M31"/>
      <c r="N31" s="67">
        <v>31</v>
      </c>
      <c r="O31" s="68" t="s">
        <v>232</v>
      </c>
      <c r="P31" s="75">
        <f>IFERROR(VLOOKUP($J$1,Representantes_IV[],$N31,0),"-")</f>
        <v>1</v>
      </c>
    </row>
    <row r="32" spans="2:16" x14ac:dyDescent="0.25">
      <c r="I32" s="66" t="s">
        <v>305</v>
      </c>
      <c r="J32" s="85"/>
      <c r="K32" s="85"/>
      <c r="L32" s="85">
        <v>100</v>
      </c>
      <c r="M32"/>
      <c r="N32" s="67">
        <v>32</v>
      </c>
      <c r="O32" s="68" t="s">
        <v>233</v>
      </c>
      <c r="P32" s="75">
        <f>IFERROR(VLOOKUP($J$1,Representantes_IV[],$N32,0),"-")</f>
        <v>1</v>
      </c>
    </row>
    <row r="33" spans="9:16" x14ac:dyDescent="0.25">
      <c r="I33" s="66" t="s">
        <v>306</v>
      </c>
      <c r="J33" s="85"/>
      <c r="K33" s="85">
        <v>160</v>
      </c>
      <c r="L33" s="85">
        <v>280</v>
      </c>
      <c r="M33"/>
      <c r="N33" s="67">
        <v>33</v>
      </c>
      <c r="O33" s="68" t="s">
        <v>207</v>
      </c>
      <c r="P33" s="77">
        <f ca="1">IFERROR(VLOOKUP($J$1,Representantes_IV[],$N33,0),"-")</f>
        <v>188.0412</v>
      </c>
    </row>
    <row r="34" spans="9:16" x14ac:dyDescent="0.25">
      <c r="I34" s="66" t="s">
        <v>307</v>
      </c>
      <c r="J34" s="85"/>
      <c r="K34" s="85">
        <v>256</v>
      </c>
      <c r="L34" s="85">
        <v>710</v>
      </c>
      <c r="M34"/>
      <c r="N34" s="67">
        <v>34</v>
      </c>
      <c r="O34" s="68" t="s">
        <v>208</v>
      </c>
      <c r="P34" s="77">
        <f>IFERROR(VLOOKUP($J$1,Representantes_IV[],$N34,0),"-")</f>
        <v>0</v>
      </c>
    </row>
    <row r="35" spans="9:16" x14ac:dyDescent="0.25">
      <c r="I35" s="66" t="s">
        <v>323</v>
      </c>
      <c r="J35" s="85"/>
      <c r="K35" s="85">
        <v>14</v>
      </c>
      <c r="L35" s="85"/>
      <c r="M35"/>
      <c r="N35" s="67">
        <v>35</v>
      </c>
      <c r="O35" s="68" t="s">
        <v>210</v>
      </c>
      <c r="P35" s="77">
        <f>IFERROR(VLOOKUP($J$1,Representantes_IV[],$N35,0),"-")</f>
        <v>0</v>
      </c>
    </row>
    <row r="36" spans="9:16" x14ac:dyDescent="0.25">
      <c r="I36" s="66" t="s">
        <v>308</v>
      </c>
      <c r="J36" s="85"/>
      <c r="K36" s="85"/>
      <c r="L36" s="85">
        <v>100</v>
      </c>
      <c r="M36"/>
      <c r="N36" s="67">
        <v>36</v>
      </c>
      <c r="O36" s="68" t="s">
        <v>209</v>
      </c>
      <c r="P36" s="77">
        <f ca="1">IFERROR(VLOOKUP($J$1,Representantes_IV[],$N36,0),"-")</f>
        <v>564.12350000000004</v>
      </c>
    </row>
    <row r="37" spans="9:16" x14ac:dyDescent="0.25">
      <c r="I37" s="66" t="s">
        <v>309</v>
      </c>
      <c r="J37" s="85"/>
      <c r="K37" s="85">
        <v>52</v>
      </c>
      <c r="L37" s="85">
        <v>210</v>
      </c>
      <c r="M37"/>
      <c r="N37" s="67">
        <v>37</v>
      </c>
      <c r="O37" s="68" t="s">
        <v>211</v>
      </c>
      <c r="P37" s="77">
        <f ca="1">IFERROR(VLOOKUP($J$1,Representantes_IV[],$N37,0),"-")</f>
        <v>188.0412</v>
      </c>
    </row>
    <row r="38" spans="9:16" x14ac:dyDescent="0.25">
      <c r="I38" s="66" t="s">
        <v>310</v>
      </c>
      <c r="J38" s="85"/>
      <c r="K38" s="85">
        <v>48</v>
      </c>
      <c r="L38" s="85">
        <v>40</v>
      </c>
      <c r="M38"/>
      <c r="N38" s="67">
        <v>38</v>
      </c>
      <c r="O38" s="68" t="s">
        <v>189</v>
      </c>
      <c r="P38" s="77">
        <f ca="1">IFERROR(VLOOKUP($J$1,Representantes_IV[],$N38,0),"-")</f>
        <v>188.0412</v>
      </c>
    </row>
    <row r="39" spans="9:16" x14ac:dyDescent="0.25">
      <c r="I39" s="66" t="s">
        <v>311</v>
      </c>
      <c r="J39" s="85"/>
      <c r="K39" s="85">
        <v>8</v>
      </c>
      <c r="L39" s="85">
        <v>350</v>
      </c>
      <c r="M39"/>
      <c r="N39" s="67">
        <v>39</v>
      </c>
      <c r="O39" s="68" t="s">
        <v>190</v>
      </c>
      <c r="P39" s="77">
        <f>IFERROR(VLOOKUP($J$1,Representantes_IV[],$N39,0),"-")</f>
        <v>0</v>
      </c>
    </row>
    <row r="40" spans="9:16" x14ac:dyDescent="0.25">
      <c r="I40" s="66" t="s">
        <v>268</v>
      </c>
      <c r="J40" s="85">
        <v>3</v>
      </c>
      <c r="K40" s="85">
        <v>1179</v>
      </c>
      <c r="L40" s="85">
        <v>3130</v>
      </c>
      <c r="M40"/>
      <c r="N40" s="67">
        <v>40</v>
      </c>
      <c r="O40" s="68" t="s">
        <v>191</v>
      </c>
      <c r="P40" s="77">
        <f>IFERROR(VLOOKUP($J$1,Representantes_IV[],$N40,0),"-")</f>
        <v>0</v>
      </c>
    </row>
    <row r="41" spans="9:16" x14ac:dyDescent="0.25">
      <c r="I41"/>
      <c r="J41"/>
      <c r="K41"/>
      <c r="L41"/>
      <c r="M41"/>
      <c r="N41" s="67">
        <v>41</v>
      </c>
      <c r="O41" s="68" t="s">
        <v>192</v>
      </c>
      <c r="P41" s="77">
        <f ca="1">IFERROR(VLOOKUP($J$1,Representantes_IV[],$N41,0),"-")</f>
        <v>564.12350000000004</v>
      </c>
    </row>
    <row r="42" spans="9:16" x14ac:dyDescent="0.25">
      <c r="I42"/>
      <c r="J42"/>
      <c r="K42"/>
      <c r="L42"/>
      <c r="M42"/>
      <c r="N42" s="67">
        <v>42</v>
      </c>
      <c r="O42" s="68" t="s">
        <v>193</v>
      </c>
      <c r="P42" s="77">
        <f ca="1">IFERROR(VLOOKUP($J$1,Representantes_IV[],$N42,0),"-")</f>
        <v>188.0412</v>
      </c>
    </row>
    <row r="43" spans="9:16" x14ac:dyDescent="0.25">
      <c r="I43"/>
      <c r="J43"/>
      <c r="K43"/>
      <c r="L43"/>
      <c r="M43"/>
      <c r="N43" s="67">
        <v>43</v>
      </c>
      <c r="O43" s="68" t="s">
        <v>241</v>
      </c>
      <c r="P43" s="77">
        <f>IFERROR(VLOOKUP($J$1,Representantes_IV[],$N43,0),"-")</f>
        <v>24875647.060000017</v>
      </c>
    </row>
    <row r="44" spans="9:16" x14ac:dyDescent="0.25">
      <c r="I44"/>
      <c r="J44"/>
      <c r="K44"/>
      <c r="L44"/>
      <c r="M44"/>
      <c r="N44" s="67">
        <v>44</v>
      </c>
      <c r="O44" s="68" t="s">
        <v>242</v>
      </c>
      <c r="P44" s="77">
        <f>IFERROR(VLOOKUP($J$1,Representantes_IV[],$N44,0),"-")</f>
        <v>30797896.699999992</v>
      </c>
    </row>
    <row r="45" spans="9:16" x14ac:dyDescent="0.25">
      <c r="I45"/>
      <c r="J45"/>
      <c r="K45"/>
      <c r="L45"/>
      <c r="M45"/>
      <c r="N45" s="67">
        <v>45</v>
      </c>
      <c r="O45" s="68" t="s">
        <v>243</v>
      </c>
      <c r="P45" s="75">
        <f>IFERROR(VLOOKUP($J$1,Representantes_IV[],$N45,0),"-")</f>
        <v>1.2389999999999999</v>
      </c>
    </row>
    <row r="46" spans="9:16" x14ac:dyDescent="0.25">
      <c r="I46"/>
      <c r="J46"/>
      <c r="K46"/>
      <c r="L46"/>
      <c r="M46"/>
      <c r="N46" s="67">
        <v>46</v>
      </c>
      <c r="O46" s="68" t="s">
        <v>244</v>
      </c>
      <c r="P46" s="77">
        <f>IFERROR(VLOOKUP($J$1,Representantes_IV[],$N46,0),"-")</f>
        <v>631.32569999999998</v>
      </c>
    </row>
    <row r="47" spans="9:16" x14ac:dyDescent="0.25">
      <c r="I47"/>
      <c r="J47"/>
      <c r="K47"/>
      <c r="L47"/>
      <c r="M47"/>
      <c r="N47" s="67">
        <v>47</v>
      </c>
      <c r="O47" s="68" t="s">
        <v>254</v>
      </c>
      <c r="P47" s="70">
        <f>IFERROR(VLOOKUP($J$1,Representantes_IV[],$N47,0),"-")</f>
        <v>84</v>
      </c>
    </row>
    <row r="48" spans="9:16" x14ac:dyDescent="0.25">
      <c r="I48"/>
      <c r="J48"/>
      <c r="K48"/>
      <c r="L48"/>
      <c r="M48"/>
      <c r="N48" s="67">
        <v>48</v>
      </c>
      <c r="O48" s="68" t="s">
        <v>255</v>
      </c>
      <c r="P48" s="70">
        <f>IFERROR(VLOOKUP($J$1,Representantes_IV[],$N48,0),"-")</f>
        <v>84</v>
      </c>
    </row>
    <row r="49" spans="9:16" x14ac:dyDescent="0.25">
      <c r="I49"/>
      <c r="J49"/>
      <c r="K49"/>
      <c r="L49"/>
      <c r="M49"/>
      <c r="N49" s="67">
        <v>49</v>
      </c>
      <c r="O49" s="68" t="s">
        <v>256</v>
      </c>
      <c r="P49" s="75">
        <f>IFERROR(VLOOKUP($J$1,Representantes_IV[],$N49,0),"-")</f>
        <v>1</v>
      </c>
    </row>
    <row r="50" spans="9:16" x14ac:dyDescent="0.25">
      <c r="I50"/>
      <c r="J50"/>
      <c r="K50"/>
      <c r="L50"/>
      <c r="M50"/>
      <c r="N50" s="67">
        <v>50</v>
      </c>
      <c r="O50" s="68" t="s">
        <v>257</v>
      </c>
      <c r="P50" s="77">
        <f>IFERROR(VLOOKUP($J$1,Representantes_IV[],$N50,0),"-")</f>
        <v>376.08229999999998</v>
      </c>
    </row>
    <row r="51" spans="9:16" x14ac:dyDescent="0.25">
      <c r="I51"/>
      <c r="J51"/>
      <c r="K51"/>
      <c r="L51"/>
      <c r="M51"/>
      <c r="N51" s="67">
        <v>51</v>
      </c>
      <c r="O51" s="68" t="s">
        <v>258</v>
      </c>
      <c r="P51" s="75">
        <f>IFERROR(VLOOKUP($J$1,Representantes_IV[],$N51,0),"-")</f>
        <v>1</v>
      </c>
    </row>
    <row r="52" spans="9:16" x14ac:dyDescent="0.25">
      <c r="I52"/>
      <c r="J52"/>
      <c r="K52"/>
      <c r="L52"/>
      <c r="M52"/>
      <c r="N52" s="67">
        <v>52</v>
      </c>
      <c r="O52" s="68" t="s">
        <v>262</v>
      </c>
      <c r="P52" s="77">
        <f>IFERROR(VLOOKUP($J$1,Representantes_IV[],$N52,0),"-")</f>
        <v>376.08229999999998</v>
      </c>
    </row>
    <row r="53" spans="9:16" x14ac:dyDescent="0.25">
      <c r="I53"/>
      <c r="J53"/>
      <c r="K53"/>
      <c r="L53"/>
      <c r="M53"/>
      <c r="N53" s="67">
        <v>53</v>
      </c>
      <c r="O53" s="68" t="s">
        <v>259</v>
      </c>
      <c r="P53" s="75">
        <f>IFERROR(VLOOKUP($J$1,Representantes_IV[],$N53,0),"-")</f>
        <v>1</v>
      </c>
    </row>
    <row r="54" spans="9:16" x14ac:dyDescent="0.25">
      <c r="I54"/>
      <c r="J54"/>
      <c r="K54"/>
      <c r="L54"/>
      <c r="M54"/>
      <c r="N54" s="67">
        <v>54</v>
      </c>
      <c r="O54" s="68" t="s">
        <v>263</v>
      </c>
      <c r="P54" s="77">
        <f>IFERROR(VLOOKUP($J$1,Representantes_IV[],$N54,0),"-")</f>
        <v>1128.2470000000001</v>
      </c>
    </row>
    <row r="55" spans="9:16" x14ac:dyDescent="0.25">
      <c r="I55"/>
      <c r="J55"/>
      <c r="K55"/>
      <c r="L55"/>
      <c r="M55"/>
      <c r="N55" s="67">
        <v>55</v>
      </c>
      <c r="O55" s="68" t="s">
        <v>260</v>
      </c>
      <c r="P55" s="75">
        <f>IFERROR(VLOOKUP($J$1,Representantes_IV[],$N55,0),"-")</f>
        <v>1</v>
      </c>
    </row>
    <row r="56" spans="9:16" x14ac:dyDescent="0.25">
      <c r="I56"/>
      <c r="J56"/>
      <c r="K56"/>
      <c r="L56"/>
      <c r="M56"/>
      <c r="N56" s="67">
        <v>56</v>
      </c>
      <c r="O56" s="68" t="s">
        <v>264</v>
      </c>
      <c r="P56" s="77">
        <f>IFERROR(VLOOKUP($J$1,Representantes_IV[],$N56,0),"-")</f>
        <v>376.08229999999998</v>
      </c>
    </row>
    <row r="57" spans="9:16" x14ac:dyDescent="0.25">
      <c r="I57"/>
      <c r="J57"/>
      <c r="K57"/>
      <c r="L57"/>
      <c r="M57"/>
      <c r="N57" s="67">
        <v>57</v>
      </c>
      <c r="O57" s="68" t="s">
        <v>261</v>
      </c>
      <c r="P57" s="75">
        <f>IFERROR(VLOOKUP($J$1,Representantes_IV[],$N57,0),"-")</f>
        <v>1</v>
      </c>
    </row>
    <row r="58" spans="9:16" x14ac:dyDescent="0.25">
      <c r="I58"/>
      <c r="J58"/>
      <c r="K58"/>
      <c r="L58"/>
      <c r="M58"/>
      <c r="N58" s="67">
        <v>58</v>
      </c>
      <c r="O58" s="68" t="s">
        <v>265</v>
      </c>
      <c r="P58" s="77">
        <f>IFERROR(VLOOKUP($J$1,Representantes_IV[],$N58,0),"-")</f>
        <v>376.08229999999998</v>
      </c>
    </row>
    <row r="59" spans="9:16" x14ac:dyDescent="0.25">
      <c r="I59"/>
      <c r="J59"/>
      <c r="K59"/>
      <c r="L59"/>
      <c r="M59"/>
      <c r="N59" s="67">
        <v>59</v>
      </c>
      <c r="O59" s="68" t="s">
        <v>266</v>
      </c>
      <c r="P59" s="77">
        <f ca="1">IFERROR(VLOOKUP($J$1,Representantes_IV[],$N59,0),"-")</f>
        <v>4204.1077999999998</v>
      </c>
    </row>
    <row r="60" spans="9:16" x14ac:dyDescent="0.25">
      <c r="I60"/>
      <c r="J60"/>
      <c r="K60"/>
      <c r="L60"/>
      <c r="M60"/>
    </row>
    <row r="61" spans="9:16" x14ac:dyDescent="0.25">
      <c r="I61"/>
      <c r="J61"/>
      <c r="K61"/>
      <c r="L61"/>
      <c r="M61"/>
    </row>
    <row r="62" spans="9:16" x14ac:dyDescent="0.25">
      <c r="I62"/>
      <c r="J62"/>
      <c r="K62"/>
      <c r="L62"/>
      <c r="M62"/>
    </row>
    <row r="63" spans="9:16" x14ac:dyDescent="0.25">
      <c r="I63"/>
      <c r="J63"/>
      <c r="K63"/>
      <c r="L63"/>
      <c r="M63"/>
    </row>
    <row r="64" spans="9:16" x14ac:dyDescent="0.25">
      <c r="I64"/>
      <c r="J64"/>
      <c r="K64"/>
      <c r="L64"/>
      <c r="M64"/>
    </row>
    <row r="65" spans="9:13" x14ac:dyDescent="0.25">
      <c r="I65"/>
      <c r="J65"/>
      <c r="K65"/>
      <c r="L65"/>
      <c r="M65"/>
    </row>
    <row r="66" spans="9:13" x14ac:dyDescent="0.25">
      <c r="I66"/>
      <c r="J66"/>
      <c r="K66"/>
      <c r="L66"/>
      <c r="M66"/>
    </row>
    <row r="67" spans="9:13" x14ac:dyDescent="0.25">
      <c r="I67"/>
      <c r="J67"/>
      <c r="K67"/>
      <c r="L67"/>
      <c r="M67"/>
    </row>
    <row r="68" spans="9:13" x14ac:dyDescent="0.25">
      <c r="I68"/>
      <c r="J68"/>
      <c r="K68"/>
      <c r="L68"/>
      <c r="M68"/>
    </row>
    <row r="69" spans="9:13" x14ac:dyDescent="0.25">
      <c r="I69"/>
      <c r="J69"/>
      <c r="K69"/>
      <c r="L69"/>
      <c r="M69"/>
    </row>
    <row r="70" spans="9:13" x14ac:dyDescent="0.25">
      <c r="I70"/>
      <c r="J70"/>
      <c r="K70"/>
      <c r="L70"/>
      <c r="M70"/>
    </row>
    <row r="71" spans="9:13" x14ac:dyDescent="0.25">
      <c r="I71"/>
      <c r="J71"/>
      <c r="K71"/>
      <c r="L71"/>
      <c r="M71"/>
    </row>
    <row r="72" spans="9:13" x14ac:dyDescent="0.25">
      <c r="I72"/>
      <c r="J72"/>
      <c r="K72"/>
      <c r="L72"/>
      <c r="M72"/>
    </row>
    <row r="73" spans="9:13" x14ac:dyDescent="0.25">
      <c r="I73"/>
      <c r="J73"/>
      <c r="K73"/>
      <c r="L73"/>
      <c r="M73"/>
    </row>
    <row r="74" spans="9:13" x14ac:dyDescent="0.25">
      <c r="I74"/>
      <c r="J74"/>
      <c r="K74"/>
      <c r="L74"/>
      <c r="M74"/>
    </row>
    <row r="75" spans="9:13" x14ac:dyDescent="0.25">
      <c r="I75"/>
      <c r="J75"/>
      <c r="K75"/>
      <c r="L75"/>
      <c r="M75"/>
    </row>
    <row r="76" spans="9:13" x14ac:dyDescent="0.25">
      <c r="I76"/>
      <c r="J76"/>
      <c r="K76"/>
      <c r="L76"/>
      <c r="M76"/>
    </row>
    <row r="77" spans="9:13" x14ac:dyDescent="0.25">
      <c r="I77"/>
      <c r="J77"/>
      <c r="K77"/>
      <c r="L77"/>
      <c r="M77"/>
    </row>
    <row r="78" spans="9:13" x14ac:dyDescent="0.25">
      <c r="I78"/>
      <c r="J78"/>
      <c r="K78"/>
      <c r="L78"/>
      <c r="M78"/>
    </row>
    <row r="79" spans="9:13" x14ac:dyDescent="0.25">
      <c r="I79"/>
      <c r="J79"/>
      <c r="K79"/>
      <c r="L79"/>
      <c r="M79"/>
    </row>
    <row r="80" spans="9:13" x14ac:dyDescent="0.25">
      <c r="I80"/>
      <c r="J80"/>
      <c r="K80"/>
      <c r="L80"/>
      <c r="M80"/>
    </row>
    <row r="81" spans="9:13" x14ac:dyDescent="0.25">
      <c r="I81"/>
      <c r="J81"/>
      <c r="K81"/>
      <c r="L81"/>
      <c r="M81"/>
    </row>
    <row r="82" spans="9:13" x14ac:dyDescent="0.25">
      <c r="I82"/>
      <c r="J82"/>
      <c r="K82"/>
      <c r="L82"/>
      <c r="M82"/>
    </row>
    <row r="83" spans="9:13" x14ac:dyDescent="0.25">
      <c r="I83"/>
      <c r="J83"/>
      <c r="K83"/>
      <c r="L83"/>
      <c r="M83"/>
    </row>
    <row r="84" spans="9:13" x14ac:dyDescent="0.25">
      <c r="I84"/>
      <c r="J84"/>
      <c r="K84"/>
      <c r="L84"/>
      <c r="M84"/>
    </row>
    <row r="85" spans="9:13" x14ac:dyDescent="0.25">
      <c r="I85"/>
      <c r="J85"/>
      <c r="K85"/>
      <c r="L85"/>
      <c r="M85"/>
    </row>
    <row r="86" spans="9:13" x14ac:dyDescent="0.25">
      <c r="I86"/>
      <c r="J86"/>
      <c r="K86"/>
      <c r="L86"/>
      <c r="M86"/>
    </row>
    <row r="87" spans="9:13" x14ac:dyDescent="0.25">
      <c r="I87"/>
      <c r="J87"/>
      <c r="K87"/>
      <c r="L87"/>
      <c r="M87"/>
    </row>
    <row r="88" spans="9:13" x14ac:dyDescent="0.25">
      <c r="I88"/>
      <c r="J88"/>
      <c r="K88"/>
      <c r="L88"/>
      <c r="M88"/>
    </row>
    <row r="89" spans="9:13" x14ac:dyDescent="0.25">
      <c r="I89"/>
      <c r="J89"/>
      <c r="K89"/>
      <c r="L89"/>
      <c r="M89"/>
    </row>
    <row r="90" spans="9:13" x14ac:dyDescent="0.25">
      <c r="I90"/>
      <c r="J90"/>
      <c r="K90"/>
      <c r="L90"/>
      <c r="M90"/>
    </row>
    <row r="91" spans="9:13" x14ac:dyDescent="0.25">
      <c r="I91"/>
      <c r="J91"/>
      <c r="K91"/>
      <c r="L91"/>
      <c r="M91"/>
    </row>
    <row r="92" spans="9:13" x14ac:dyDescent="0.25">
      <c r="I92"/>
      <c r="J92"/>
      <c r="K92"/>
      <c r="L92"/>
      <c r="M92"/>
    </row>
    <row r="93" spans="9:13" x14ac:dyDescent="0.25">
      <c r="I93"/>
      <c r="J93"/>
      <c r="K93"/>
      <c r="L93"/>
      <c r="M93"/>
    </row>
    <row r="94" spans="9:13" x14ac:dyDescent="0.25">
      <c r="I94"/>
      <c r="J94"/>
      <c r="K94"/>
      <c r="L94"/>
      <c r="M94"/>
    </row>
    <row r="95" spans="9:13" x14ac:dyDescent="0.25">
      <c r="I95"/>
      <c r="J95"/>
      <c r="K95"/>
      <c r="L95"/>
      <c r="M95"/>
    </row>
    <row r="96" spans="9:13" x14ac:dyDescent="0.25">
      <c r="I96"/>
      <c r="J96"/>
      <c r="K96"/>
      <c r="L96"/>
      <c r="M96"/>
    </row>
    <row r="97" spans="9:13" x14ac:dyDescent="0.25">
      <c r="I97"/>
      <c r="J97"/>
      <c r="K97"/>
      <c r="L97"/>
      <c r="M97"/>
    </row>
    <row r="98" spans="9:13" x14ac:dyDescent="0.25">
      <c r="I98"/>
      <c r="J98"/>
      <c r="K98"/>
      <c r="L98"/>
      <c r="M98"/>
    </row>
    <row r="99" spans="9:13" x14ac:dyDescent="0.25">
      <c r="I99"/>
      <c r="J99"/>
      <c r="K99"/>
      <c r="L99"/>
      <c r="M99"/>
    </row>
    <row r="100" spans="9:13" x14ac:dyDescent="0.25">
      <c r="I100"/>
      <c r="J100"/>
      <c r="K100"/>
      <c r="L100"/>
      <c r="M100"/>
    </row>
    <row r="101" spans="9:13" x14ac:dyDescent="0.25">
      <c r="I101"/>
      <c r="J101"/>
      <c r="K101"/>
      <c r="L101"/>
      <c r="M101"/>
    </row>
    <row r="102" spans="9:13" x14ac:dyDescent="0.25">
      <c r="I102"/>
      <c r="J102"/>
      <c r="K102"/>
      <c r="L102"/>
      <c r="M102"/>
    </row>
    <row r="103" spans="9:13" x14ac:dyDescent="0.25">
      <c r="I103"/>
      <c r="J103"/>
      <c r="K103"/>
      <c r="L103"/>
      <c r="M103"/>
    </row>
    <row r="104" spans="9:13" x14ac:dyDescent="0.25">
      <c r="I104"/>
      <c r="J104"/>
      <c r="K104"/>
      <c r="L104"/>
      <c r="M104"/>
    </row>
    <row r="105" spans="9:13" x14ac:dyDescent="0.25">
      <c r="I105"/>
      <c r="J105"/>
      <c r="K105"/>
      <c r="L105"/>
      <c r="M105"/>
    </row>
    <row r="106" spans="9:13" x14ac:dyDescent="0.25">
      <c r="I106"/>
      <c r="J106"/>
      <c r="K106"/>
      <c r="L106"/>
      <c r="M106"/>
    </row>
    <row r="107" spans="9:13" x14ac:dyDescent="0.25">
      <c r="I107"/>
      <c r="J107"/>
      <c r="K107"/>
      <c r="L107"/>
      <c r="M107"/>
    </row>
    <row r="108" spans="9:13" x14ac:dyDescent="0.25">
      <c r="I108"/>
      <c r="J108"/>
      <c r="K108"/>
      <c r="L108"/>
      <c r="M108"/>
    </row>
    <row r="109" spans="9:13" x14ac:dyDescent="0.25">
      <c r="I109"/>
      <c r="J109"/>
      <c r="K109"/>
      <c r="L109"/>
      <c r="M109"/>
    </row>
    <row r="110" spans="9:13" x14ac:dyDescent="0.25">
      <c r="I110"/>
      <c r="J110"/>
      <c r="K110"/>
      <c r="L110"/>
      <c r="M110"/>
    </row>
    <row r="111" spans="9:13" x14ac:dyDescent="0.25">
      <c r="I111"/>
      <c r="J111"/>
      <c r="K111"/>
      <c r="L111"/>
      <c r="M111"/>
    </row>
    <row r="112" spans="9:13" x14ac:dyDescent="0.25">
      <c r="I112"/>
      <c r="J112"/>
      <c r="K112"/>
      <c r="L112"/>
      <c r="M112"/>
    </row>
    <row r="113" spans="9:13" x14ac:dyDescent="0.25">
      <c r="I113"/>
      <c r="J113"/>
      <c r="K113"/>
      <c r="L113"/>
      <c r="M113"/>
    </row>
    <row r="114" spans="9:13" x14ac:dyDescent="0.25">
      <c r="I114"/>
      <c r="J114"/>
      <c r="K114"/>
      <c r="L114"/>
      <c r="M114"/>
    </row>
    <row r="115" spans="9:13" x14ac:dyDescent="0.25">
      <c r="I115"/>
      <c r="J115"/>
      <c r="K115"/>
      <c r="L115"/>
      <c r="M115"/>
    </row>
    <row r="116" spans="9:13" x14ac:dyDescent="0.25">
      <c r="I116"/>
      <c r="J116"/>
      <c r="K116"/>
      <c r="L116"/>
      <c r="M116"/>
    </row>
    <row r="117" spans="9:13" x14ac:dyDescent="0.25">
      <c r="I117"/>
      <c r="J117"/>
      <c r="K117"/>
      <c r="L117"/>
      <c r="M117"/>
    </row>
    <row r="118" spans="9:13" x14ac:dyDescent="0.25">
      <c r="I118"/>
      <c r="J118"/>
      <c r="K118"/>
      <c r="L118"/>
      <c r="M118"/>
    </row>
    <row r="119" spans="9:13" x14ac:dyDescent="0.25">
      <c r="I119"/>
      <c r="J119"/>
      <c r="K119"/>
      <c r="L119"/>
      <c r="M119"/>
    </row>
    <row r="120" spans="9:13" x14ac:dyDescent="0.25">
      <c r="I120"/>
      <c r="J120"/>
      <c r="K120"/>
      <c r="L120"/>
      <c r="M120"/>
    </row>
    <row r="121" spans="9:13" x14ac:dyDescent="0.25">
      <c r="I121"/>
      <c r="J121"/>
      <c r="K121"/>
      <c r="L121"/>
      <c r="M121"/>
    </row>
    <row r="122" spans="9:13" x14ac:dyDescent="0.25">
      <c r="I122"/>
      <c r="J122"/>
      <c r="K122"/>
      <c r="L122"/>
      <c r="M122"/>
    </row>
    <row r="123" spans="9:13" x14ac:dyDescent="0.25">
      <c r="I123"/>
      <c r="J123"/>
      <c r="K123"/>
      <c r="L123"/>
      <c r="M123"/>
    </row>
    <row r="124" spans="9:13" x14ac:dyDescent="0.25">
      <c r="I124"/>
      <c r="J124"/>
      <c r="K124"/>
      <c r="L124"/>
      <c r="M124"/>
    </row>
    <row r="125" spans="9:13" x14ac:dyDescent="0.25">
      <c r="I125"/>
      <c r="J125"/>
      <c r="K125"/>
      <c r="L125"/>
      <c r="M125"/>
    </row>
    <row r="126" spans="9:13" x14ac:dyDescent="0.25">
      <c r="I126"/>
      <c r="J126"/>
      <c r="K126"/>
      <c r="L126"/>
      <c r="M126"/>
    </row>
    <row r="127" spans="9:13" x14ac:dyDescent="0.25">
      <c r="I127"/>
      <c r="J127"/>
      <c r="K127"/>
      <c r="L127"/>
      <c r="M127"/>
    </row>
    <row r="128" spans="9:13" x14ac:dyDescent="0.25">
      <c r="I128"/>
      <c r="J128"/>
      <c r="K128"/>
      <c r="L128"/>
      <c r="M128"/>
    </row>
    <row r="129" spans="9:13" x14ac:dyDescent="0.25">
      <c r="I129"/>
      <c r="J129"/>
      <c r="K129"/>
      <c r="L129"/>
      <c r="M129"/>
    </row>
    <row r="130" spans="9:13" x14ac:dyDescent="0.25">
      <c r="I130"/>
      <c r="J130"/>
      <c r="K130"/>
      <c r="L130"/>
      <c r="M130"/>
    </row>
    <row r="131" spans="9:13" x14ac:dyDescent="0.25">
      <c r="I131"/>
      <c r="J131"/>
      <c r="K131"/>
      <c r="L131"/>
      <c r="M131"/>
    </row>
    <row r="132" spans="9:13" x14ac:dyDescent="0.25">
      <c r="I132"/>
      <c r="J132"/>
      <c r="K132"/>
      <c r="L132"/>
      <c r="M132"/>
    </row>
    <row r="133" spans="9:13" x14ac:dyDescent="0.25">
      <c r="I133"/>
      <c r="J133"/>
      <c r="K133"/>
      <c r="L133"/>
      <c r="M133"/>
    </row>
    <row r="134" spans="9:13" x14ac:dyDescent="0.25">
      <c r="I134"/>
      <c r="J134"/>
      <c r="K134"/>
      <c r="L134"/>
      <c r="M134"/>
    </row>
    <row r="135" spans="9:13" x14ac:dyDescent="0.25">
      <c r="I135"/>
      <c r="J135"/>
      <c r="K135"/>
      <c r="L135"/>
      <c r="M135"/>
    </row>
    <row r="136" spans="9:13" x14ac:dyDescent="0.25">
      <c r="I136"/>
      <c r="J136"/>
      <c r="K136"/>
      <c r="L136"/>
      <c r="M136"/>
    </row>
    <row r="137" spans="9:13" x14ac:dyDescent="0.25">
      <c r="I137"/>
      <c r="J137"/>
      <c r="K137"/>
      <c r="L137"/>
      <c r="M137"/>
    </row>
    <row r="138" spans="9:13" x14ac:dyDescent="0.25">
      <c r="I138"/>
      <c r="J138"/>
      <c r="K138"/>
      <c r="L138"/>
      <c r="M138"/>
    </row>
    <row r="139" spans="9:13" x14ac:dyDescent="0.25">
      <c r="I139"/>
      <c r="J139"/>
      <c r="K139"/>
      <c r="L139"/>
      <c r="M139"/>
    </row>
    <row r="140" spans="9:13" x14ac:dyDescent="0.25">
      <c r="I140"/>
      <c r="J140"/>
      <c r="K140"/>
      <c r="L140"/>
      <c r="M140"/>
    </row>
    <row r="141" spans="9:13" x14ac:dyDescent="0.25">
      <c r="I141"/>
      <c r="J141"/>
      <c r="K141"/>
      <c r="L141"/>
      <c r="M141"/>
    </row>
    <row r="142" spans="9:13" x14ac:dyDescent="0.25">
      <c r="I142"/>
      <c r="J142"/>
      <c r="K142"/>
      <c r="L142"/>
      <c r="M142"/>
    </row>
    <row r="143" spans="9:13" x14ac:dyDescent="0.25">
      <c r="I143"/>
      <c r="J143"/>
      <c r="K143"/>
      <c r="L143"/>
      <c r="M143"/>
    </row>
    <row r="144" spans="9:13" x14ac:dyDescent="0.25">
      <c r="I144"/>
      <c r="J144"/>
      <c r="K144"/>
      <c r="L144"/>
      <c r="M144"/>
    </row>
    <row r="145" spans="9:13" x14ac:dyDescent="0.25">
      <c r="I145"/>
      <c r="J145"/>
      <c r="K145"/>
      <c r="L145"/>
      <c r="M145"/>
    </row>
    <row r="146" spans="9:13" x14ac:dyDescent="0.25">
      <c r="I146"/>
      <c r="J146"/>
      <c r="K146"/>
      <c r="L146"/>
      <c r="M146"/>
    </row>
    <row r="147" spans="9:13" x14ac:dyDescent="0.25">
      <c r="I147"/>
      <c r="J147"/>
      <c r="K147"/>
      <c r="L147"/>
      <c r="M147"/>
    </row>
    <row r="148" spans="9:13" x14ac:dyDescent="0.25">
      <c r="I148"/>
      <c r="J148"/>
      <c r="K148"/>
      <c r="L148"/>
      <c r="M148"/>
    </row>
    <row r="149" spans="9:13" x14ac:dyDescent="0.25">
      <c r="I149"/>
      <c r="J149"/>
      <c r="K149"/>
      <c r="L149"/>
      <c r="M149"/>
    </row>
    <row r="150" spans="9:13" x14ac:dyDescent="0.25">
      <c r="I150"/>
      <c r="J150"/>
      <c r="K150"/>
      <c r="L150"/>
      <c r="M150"/>
    </row>
    <row r="151" spans="9:13" x14ac:dyDescent="0.25">
      <c r="I151"/>
      <c r="J151"/>
      <c r="K151"/>
      <c r="L151"/>
      <c r="M151"/>
    </row>
    <row r="152" spans="9:13" x14ac:dyDescent="0.25">
      <c r="I152"/>
      <c r="J152"/>
      <c r="K152"/>
      <c r="L152"/>
      <c r="M152"/>
    </row>
    <row r="153" spans="9:13" x14ac:dyDescent="0.25">
      <c r="I153"/>
      <c r="J153"/>
      <c r="K153"/>
      <c r="L153"/>
      <c r="M153"/>
    </row>
    <row r="154" spans="9:13" x14ac:dyDescent="0.25">
      <c r="I154"/>
      <c r="J154"/>
      <c r="K154"/>
      <c r="L154"/>
      <c r="M154"/>
    </row>
    <row r="155" spans="9:13" x14ac:dyDescent="0.25">
      <c r="I155"/>
      <c r="J155"/>
      <c r="K155"/>
      <c r="L155"/>
      <c r="M155"/>
    </row>
    <row r="156" spans="9:13" x14ac:dyDescent="0.25">
      <c r="I156"/>
      <c r="J156"/>
      <c r="K156"/>
      <c r="L156"/>
      <c r="M156"/>
    </row>
    <row r="157" spans="9:13" x14ac:dyDescent="0.25">
      <c r="I157"/>
      <c r="J157"/>
      <c r="K157"/>
      <c r="L157"/>
      <c r="M157"/>
    </row>
    <row r="158" spans="9:13" x14ac:dyDescent="0.25">
      <c r="I158"/>
      <c r="J158"/>
      <c r="K158"/>
      <c r="L158"/>
      <c r="M158"/>
    </row>
    <row r="159" spans="9:13" x14ac:dyDescent="0.25">
      <c r="I159"/>
      <c r="J159"/>
      <c r="K159"/>
      <c r="L159"/>
      <c r="M159"/>
    </row>
    <row r="160" spans="9:13" x14ac:dyDescent="0.25">
      <c r="I160"/>
      <c r="J160"/>
      <c r="K160"/>
      <c r="L160"/>
      <c r="M160"/>
    </row>
    <row r="161" spans="9:13" x14ac:dyDescent="0.25">
      <c r="I161"/>
      <c r="J161"/>
      <c r="K161"/>
      <c r="L161"/>
      <c r="M161"/>
    </row>
    <row r="162" spans="9:13" x14ac:dyDescent="0.25">
      <c r="I162"/>
      <c r="J162"/>
      <c r="K162"/>
      <c r="L162"/>
      <c r="M162"/>
    </row>
    <row r="163" spans="9:13" x14ac:dyDescent="0.25">
      <c r="I163"/>
      <c r="J163"/>
      <c r="K163"/>
      <c r="L163"/>
      <c r="M163"/>
    </row>
    <row r="164" spans="9:13" x14ac:dyDescent="0.25">
      <c r="I164"/>
      <c r="J164"/>
      <c r="K164"/>
      <c r="L164"/>
      <c r="M164"/>
    </row>
    <row r="165" spans="9:13" x14ac:dyDescent="0.25">
      <c r="I165"/>
      <c r="J165"/>
      <c r="K165"/>
      <c r="L165"/>
      <c r="M165"/>
    </row>
    <row r="166" spans="9:13" x14ac:dyDescent="0.25">
      <c r="I166"/>
      <c r="J166"/>
      <c r="K166"/>
      <c r="L166"/>
      <c r="M166"/>
    </row>
    <row r="167" spans="9:13" x14ac:dyDescent="0.25">
      <c r="I167"/>
      <c r="J167"/>
      <c r="K167"/>
      <c r="L167"/>
      <c r="M167"/>
    </row>
    <row r="168" spans="9:13" x14ac:dyDescent="0.25">
      <c r="I168"/>
      <c r="J168"/>
      <c r="K168"/>
      <c r="L168"/>
      <c r="M168"/>
    </row>
    <row r="169" spans="9:13" x14ac:dyDescent="0.25">
      <c r="I169"/>
      <c r="J169"/>
      <c r="K169"/>
      <c r="L169"/>
      <c r="M169"/>
    </row>
    <row r="170" spans="9:13" x14ac:dyDescent="0.25">
      <c r="I170"/>
      <c r="J170"/>
      <c r="K170"/>
      <c r="L170"/>
      <c r="M170"/>
    </row>
    <row r="171" spans="9:13" x14ac:dyDescent="0.25">
      <c r="I171"/>
      <c r="J171"/>
      <c r="K171"/>
      <c r="L171"/>
      <c r="M171"/>
    </row>
    <row r="172" spans="9:13" x14ac:dyDescent="0.25">
      <c r="I172"/>
      <c r="J172"/>
      <c r="K172"/>
      <c r="L172"/>
      <c r="M172"/>
    </row>
    <row r="173" spans="9:13" x14ac:dyDescent="0.25">
      <c r="I173"/>
      <c r="J173"/>
      <c r="K173"/>
      <c r="L173"/>
      <c r="M173"/>
    </row>
    <row r="174" spans="9:13" x14ac:dyDescent="0.25">
      <c r="I174"/>
      <c r="J174"/>
      <c r="K174"/>
      <c r="L174"/>
      <c r="M174"/>
    </row>
    <row r="175" spans="9:13" x14ac:dyDescent="0.25">
      <c r="I175"/>
      <c r="J175"/>
      <c r="K175"/>
      <c r="L175"/>
      <c r="M175"/>
    </row>
    <row r="176" spans="9:13" x14ac:dyDescent="0.25">
      <c r="I176"/>
      <c r="J176"/>
      <c r="K176"/>
      <c r="L176"/>
      <c r="M176"/>
    </row>
    <row r="177" spans="9:13" x14ac:dyDescent="0.25">
      <c r="I177"/>
      <c r="J177"/>
      <c r="K177"/>
      <c r="L177"/>
      <c r="M177"/>
    </row>
    <row r="178" spans="9:13" x14ac:dyDescent="0.25">
      <c r="I178"/>
      <c r="J178"/>
      <c r="K178"/>
      <c r="L178"/>
      <c r="M178"/>
    </row>
    <row r="179" spans="9:13" x14ac:dyDescent="0.25">
      <c r="I179"/>
      <c r="J179"/>
      <c r="K179"/>
      <c r="L179"/>
      <c r="M179"/>
    </row>
    <row r="180" spans="9:13" x14ac:dyDescent="0.25">
      <c r="I180"/>
      <c r="J180"/>
      <c r="K180"/>
      <c r="L180"/>
      <c r="M180"/>
    </row>
    <row r="181" spans="9:13" x14ac:dyDescent="0.25">
      <c r="I181"/>
      <c r="J181"/>
      <c r="K181"/>
      <c r="L181"/>
      <c r="M181"/>
    </row>
    <row r="182" spans="9:13" x14ac:dyDescent="0.25">
      <c r="I182"/>
      <c r="J182"/>
      <c r="K182"/>
      <c r="L182"/>
      <c r="M182"/>
    </row>
    <row r="183" spans="9:13" x14ac:dyDescent="0.25">
      <c r="I183"/>
      <c r="J183"/>
      <c r="K183"/>
      <c r="L183"/>
      <c r="M183"/>
    </row>
    <row r="184" spans="9:13" x14ac:dyDescent="0.25">
      <c r="I184"/>
      <c r="J184"/>
      <c r="K184"/>
      <c r="L184"/>
      <c r="M184"/>
    </row>
    <row r="185" spans="9:13" x14ac:dyDescent="0.25">
      <c r="I185"/>
      <c r="J185"/>
      <c r="K185"/>
      <c r="L185"/>
      <c r="M185"/>
    </row>
    <row r="186" spans="9:13" x14ac:dyDescent="0.25">
      <c r="I186"/>
      <c r="J186"/>
      <c r="K186"/>
      <c r="L186"/>
      <c r="M186"/>
    </row>
    <row r="187" spans="9:13" x14ac:dyDescent="0.25">
      <c r="I187"/>
      <c r="J187"/>
      <c r="K187"/>
      <c r="L187"/>
      <c r="M187"/>
    </row>
    <row r="188" spans="9:13" x14ac:dyDescent="0.25">
      <c r="I188"/>
      <c r="J188"/>
      <c r="K188"/>
      <c r="L188"/>
      <c r="M188"/>
    </row>
    <row r="189" spans="9:13" x14ac:dyDescent="0.25">
      <c r="I189"/>
      <c r="J189"/>
      <c r="K189"/>
      <c r="L189"/>
      <c r="M189"/>
    </row>
    <row r="190" spans="9:13" x14ac:dyDescent="0.25">
      <c r="I190"/>
      <c r="J190"/>
      <c r="K190"/>
      <c r="L190"/>
      <c r="M190"/>
    </row>
    <row r="191" spans="9:13" x14ac:dyDescent="0.25">
      <c r="I191"/>
      <c r="J191"/>
      <c r="K191"/>
      <c r="L191"/>
      <c r="M191"/>
    </row>
    <row r="192" spans="9:13" x14ac:dyDescent="0.25">
      <c r="I192"/>
      <c r="J192"/>
      <c r="K192"/>
      <c r="L192"/>
      <c r="M192"/>
    </row>
    <row r="193" spans="9:13" x14ac:dyDescent="0.25">
      <c r="I193"/>
      <c r="J193"/>
      <c r="K193"/>
      <c r="L193"/>
      <c r="M193"/>
    </row>
    <row r="194" spans="9:13" x14ac:dyDescent="0.25">
      <c r="I194"/>
      <c r="J194"/>
      <c r="K194"/>
      <c r="L194"/>
      <c r="M194"/>
    </row>
    <row r="195" spans="9:13" x14ac:dyDescent="0.25">
      <c r="I195"/>
      <c r="J195"/>
      <c r="K195"/>
      <c r="L195"/>
      <c r="M195"/>
    </row>
    <row r="196" spans="9:13" x14ac:dyDescent="0.25">
      <c r="I196"/>
      <c r="J196"/>
      <c r="K196"/>
      <c r="L196"/>
      <c r="M196"/>
    </row>
    <row r="197" spans="9:13" x14ac:dyDescent="0.25">
      <c r="I197"/>
      <c r="J197"/>
      <c r="K197"/>
      <c r="L197"/>
      <c r="M197"/>
    </row>
    <row r="198" spans="9:13" x14ac:dyDescent="0.25">
      <c r="I198"/>
      <c r="J198"/>
      <c r="K198"/>
      <c r="L198"/>
      <c r="M198"/>
    </row>
    <row r="199" spans="9:13" x14ac:dyDescent="0.25">
      <c r="I199"/>
      <c r="J199"/>
      <c r="K199"/>
      <c r="L199"/>
      <c r="M199"/>
    </row>
    <row r="200" spans="9:13" x14ac:dyDescent="0.25">
      <c r="I200"/>
      <c r="J200"/>
      <c r="K200"/>
      <c r="L200"/>
      <c r="M200"/>
    </row>
    <row r="201" spans="9:13" x14ac:dyDescent="0.25">
      <c r="I201"/>
      <c r="J201"/>
      <c r="K201"/>
      <c r="L201"/>
      <c r="M201"/>
    </row>
    <row r="202" spans="9:13" x14ac:dyDescent="0.25">
      <c r="I202"/>
      <c r="J202"/>
      <c r="K202"/>
      <c r="L202"/>
      <c r="M202"/>
    </row>
    <row r="203" spans="9:13" x14ac:dyDescent="0.25">
      <c r="I203"/>
      <c r="J203"/>
      <c r="K203"/>
      <c r="L203"/>
      <c r="M203"/>
    </row>
    <row r="204" spans="9:13" x14ac:dyDescent="0.25">
      <c r="I204"/>
      <c r="J204"/>
      <c r="K204"/>
      <c r="L204"/>
      <c r="M204"/>
    </row>
    <row r="205" spans="9:13" x14ac:dyDescent="0.25">
      <c r="I205"/>
      <c r="J205"/>
      <c r="K205"/>
      <c r="L205"/>
      <c r="M205"/>
    </row>
    <row r="206" spans="9:13" x14ac:dyDescent="0.25">
      <c r="I206"/>
      <c r="J206"/>
      <c r="K206"/>
      <c r="L206"/>
      <c r="M206"/>
    </row>
    <row r="207" spans="9:13" x14ac:dyDescent="0.25">
      <c r="I207"/>
      <c r="J207"/>
      <c r="K207"/>
      <c r="L207"/>
      <c r="M207"/>
    </row>
    <row r="208" spans="9:13" x14ac:dyDescent="0.25">
      <c r="I208"/>
      <c r="J208"/>
      <c r="K208"/>
      <c r="L208"/>
      <c r="M208"/>
    </row>
    <row r="209" spans="9:13" x14ac:dyDescent="0.25">
      <c r="I209"/>
      <c r="J209"/>
      <c r="K209"/>
      <c r="L209"/>
      <c r="M209"/>
    </row>
    <row r="210" spans="9:13" x14ac:dyDescent="0.25">
      <c r="I210"/>
      <c r="J210"/>
      <c r="K210"/>
      <c r="L210"/>
      <c r="M210"/>
    </row>
    <row r="211" spans="9:13" x14ac:dyDescent="0.25">
      <c r="I211"/>
      <c r="J211"/>
      <c r="K211"/>
      <c r="L211"/>
      <c r="M211"/>
    </row>
    <row r="212" spans="9:13" x14ac:dyDescent="0.25">
      <c r="I212"/>
      <c r="J212"/>
      <c r="K212"/>
      <c r="L212"/>
      <c r="M212"/>
    </row>
    <row r="213" spans="9:13" x14ac:dyDescent="0.25">
      <c r="I213"/>
      <c r="J213"/>
      <c r="K213"/>
      <c r="L213"/>
      <c r="M213"/>
    </row>
    <row r="214" spans="9:13" x14ac:dyDescent="0.25">
      <c r="I214"/>
      <c r="J214"/>
      <c r="K214"/>
      <c r="L214"/>
      <c r="M214"/>
    </row>
    <row r="215" spans="9:13" x14ac:dyDescent="0.25">
      <c r="I215"/>
      <c r="J215"/>
      <c r="K215"/>
      <c r="L215"/>
      <c r="M215"/>
    </row>
    <row r="216" spans="9:13" x14ac:dyDescent="0.25">
      <c r="I216"/>
      <c r="J216"/>
      <c r="K216"/>
      <c r="L216"/>
      <c r="M216"/>
    </row>
    <row r="217" spans="9:13" x14ac:dyDescent="0.25">
      <c r="I217"/>
      <c r="J217"/>
      <c r="K217"/>
      <c r="L217"/>
      <c r="M217"/>
    </row>
    <row r="218" spans="9:13" x14ac:dyDescent="0.25">
      <c r="I218"/>
      <c r="J218"/>
      <c r="K218"/>
      <c r="L218"/>
      <c r="M218"/>
    </row>
    <row r="219" spans="9:13" x14ac:dyDescent="0.25">
      <c r="I219"/>
      <c r="J219"/>
      <c r="K219"/>
      <c r="L219"/>
      <c r="M219"/>
    </row>
    <row r="220" spans="9:13" x14ac:dyDescent="0.25">
      <c r="I220"/>
      <c r="J220"/>
      <c r="K220"/>
      <c r="L220"/>
      <c r="M220"/>
    </row>
    <row r="221" spans="9:13" x14ac:dyDescent="0.25">
      <c r="I221"/>
      <c r="J221"/>
      <c r="K221"/>
      <c r="L221"/>
      <c r="M221"/>
    </row>
    <row r="222" spans="9:13" x14ac:dyDescent="0.25">
      <c r="I222"/>
      <c r="J222"/>
      <c r="K222"/>
      <c r="L222"/>
      <c r="M222"/>
    </row>
    <row r="223" spans="9:13" x14ac:dyDescent="0.25">
      <c r="I223"/>
      <c r="J223"/>
      <c r="K223"/>
      <c r="L223"/>
      <c r="M223"/>
    </row>
    <row r="224" spans="9:13" x14ac:dyDescent="0.25">
      <c r="I224"/>
      <c r="J224"/>
      <c r="K224"/>
      <c r="L224"/>
      <c r="M224"/>
    </row>
    <row r="225" spans="9:13" x14ac:dyDescent="0.25">
      <c r="I225"/>
      <c r="J225"/>
      <c r="K225"/>
      <c r="L225"/>
      <c r="M225"/>
    </row>
    <row r="226" spans="9:13" x14ac:dyDescent="0.25">
      <c r="I226"/>
      <c r="J226"/>
      <c r="K226"/>
      <c r="L226"/>
      <c r="M226"/>
    </row>
    <row r="227" spans="9:13" x14ac:dyDescent="0.25">
      <c r="I227"/>
      <c r="J227"/>
      <c r="K227"/>
      <c r="L227"/>
      <c r="M227"/>
    </row>
    <row r="228" spans="9:13" x14ac:dyDescent="0.25">
      <c r="I228"/>
      <c r="J228"/>
      <c r="K228"/>
      <c r="L228"/>
      <c r="M228"/>
    </row>
    <row r="229" spans="9:13" x14ac:dyDescent="0.25">
      <c r="I229"/>
      <c r="J229"/>
      <c r="K229"/>
      <c r="L229"/>
      <c r="M229"/>
    </row>
    <row r="230" spans="9:13" x14ac:dyDescent="0.25">
      <c r="I230"/>
      <c r="J230"/>
      <c r="K230"/>
      <c r="L230"/>
      <c r="M230"/>
    </row>
    <row r="231" spans="9:13" x14ac:dyDescent="0.25">
      <c r="I231"/>
      <c r="J231"/>
      <c r="K231"/>
      <c r="L231"/>
      <c r="M231"/>
    </row>
    <row r="232" spans="9:13" x14ac:dyDescent="0.25">
      <c r="I232"/>
      <c r="J232"/>
      <c r="K232"/>
      <c r="L232"/>
      <c r="M232"/>
    </row>
    <row r="233" spans="9:13" x14ac:dyDescent="0.25">
      <c r="I233"/>
      <c r="J233"/>
      <c r="K233"/>
      <c r="L233"/>
      <c r="M233"/>
    </row>
    <row r="234" spans="9:13" x14ac:dyDescent="0.25">
      <c r="I234"/>
      <c r="J234"/>
      <c r="K234"/>
      <c r="L234"/>
      <c r="M234"/>
    </row>
    <row r="235" spans="9:13" x14ac:dyDescent="0.25">
      <c r="I235"/>
      <c r="J235"/>
      <c r="K235"/>
      <c r="L235"/>
      <c r="M235"/>
    </row>
    <row r="236" spans="9:13" x14ac:dyDescent="0.25">
      <c r="I236"/>
      <c r="J236"/>
      <c r="K236"/>
      <c r="L236"/>
      <c r="M236"/>
    </row>
    <row r="237" spans="9:13" x14ac:dyDescent="0.25">
      <c r="I237"/>
      <c r="J237"/>
      <c r="K237"/>
      <c r="L237"/>
      <c r="M237"/>
    </row>
    <row r="238" spans="9:13" x14ac:dyDescent="0.25">
      <c r="I238"/>
      <c r="J238"/>
      <c r="K238"/>
      <c r="L238"/>
      <c r="M238"/>
    </row>
    <row r="239" spans="9:13" x14ac:dyDescent="0.25">
      <c r="I239"/>
      <c r="J239"/>
      <c r="K239"/>
      <c r="L239"/>
      <c r="M239"/>
    </row>
    <row r="240" spans="9:13" x14ac:dyDescent="0.25">
      <c r="I240"/>
      <c r="J240"/>
      <c r="K240"/>
      <c r="L240"/>
      <c r="M240"/>
    </row>
    <row r="241" spans="9:13" x14ac:dyDescent="0.25">
      <c r="I241"/>
      <c r="J241"/>
      <c r="K241"/>
      <c r="L241"/>
      <c r="M241"/>
    </row>
    <row r="242" spans="9:13" x14ac:dyDescent="0.25">
      <c r="I242"/>
      <c r="J242"/>
      <c r="K242"/>
      <c r="L242"/>
      <c r="M242"/>
    </row>
    <row r="243" spans="9:13" x14ac:dyDescent="0.25">
      <c r="I243"/>
      <c r="J243"/>
      <c r="K243"/>
      <c r="L243"/>
      <c r="M243"/>
    </row>
    <row r="244" spans="9:13" x14ac:dyDescent="0.25">
      <c r="I244"/>
      <c r="J244"/>
      <c r="K244"/>
      <c r="L244"/>
      <c r="M244"/>
    </row>
    <row r="245" spans="9:13" x14ac:dyDescent="0.25">
      <c r="I245"/>
      <c r="J245"/>
      <c r="K245"/>
      <c r="L245"/>
      <c r="M245"/>
    </row>
    <row r="246" spans="9:13" x14ac:dyDescent="0.25">
      <c r="I246"/>
      <c r="J246"/>
      <c r="K246"/>
      <c r="L246"/>
      <c r="M246"/>
    </row>
    <row r="247" spans="9:13" x14ac:dyDescent="0.25">
      <c r="I247"/>
      <c r="J247"/>
      <c r="K247"/>
      <c r="L247"/>
      <c r="M247"/>
    </row>
    <row r="248" spans="9:13" x14ac:dyDescent="0.25">
      <c r="I248"/>
      <c r="J248"/>
      <c r="K248"/>
      <c r="L248"/>
      <c r="M248"/>
    </row>
    <row r="249" spans="9:13" x14ac:dyDescent="0.25">
      <c r="I249"/>
      <c r="J249"/>
      <c r="K249"/>
      <c r="L249"/>
      <c r="M249"/>
    </row>
    <row r="250" spans="9:13" x14ac:dyDescent="0.25">
      <c r="I250"/>
      <c r="J250"/>
      <c r="K250"/>
      <c r="L250"/>
      <c r="M250"/>
    </row>
    <row r="251" spans="9:13" x14ac:dyDescent="0.25">
      <c r="I251"/>
      <c r="J251"/>
      <c r="K251"/>
      <c r="L251"/>
      <c r="M251"/>
    </row>
    <row r="252" spans="9:13" x14ac:dyDescent="0.25">
      <c r="I252"/>
      <c r="J252"/>
      <c r="K252"/>
      <c r="L252"/>
      <c r="M252"/>
    </row>
    <row r="253" spans="9:13" x14ac:dyDescent="0.25">
      <c r="I253"/>
      <c r="J253"/>
      <c r="K253"/>
      <c r="L253"/>
      <c r="M253"/>
    </row>
    <row r="254" spans="9:13" x14ac:dyDescent="0.25">
      <c r="I254"/>
      <c r="J254"/>
      <c r="K254"/>
      <c r="L254"/>
      <c r="M254"/>
    </row>
    <row r="255" spans="9:13" x14ac:dyDescent="0.25">
      <c r="I255"/>
      <c r="J255"/>
      <c r="K255"/>
      <c r="L255"/>
      <c r="M255"/>
    </row>
    <row r="256" spans="9:13" x14ac:dyDescent="0.25">
      <c r="I256"/>
      <c r="J256"/>
      <c r="K256"/>
      <c r="L256"/>
      <c r="M256"/>
    </row>
    <row r="257" spans="9:13" x14ac:dyDescent="0.25">
      <c r="I257"/>
      <c r="J257"/>
      <c r="K257"/>
      <c r="L257"/>
      <c r="M257"/>
    </row>
    <row r="258" spans="9:13" x14ac:dyDescent="0.25">
      <c r="I258"/>
      <c r="J258"/>
      <c r="K258"/>
      <c r="L258"/>
      <c r="M258"/>
    </row>
    <row r="259" spans="9:13" x14ac:dyDescent="0.25">
      <c r="I259"/>
      <c r="J259"/>
      <c r="K259"/>
      <c r="L259"/>
      <c r="M259"/>
    </row>
    <row r="260" spans="9:13" x14ac:dyDescent="0.25">
      <c r="I260"/>
      <c r="J260"/>
      <c r="K260"/>
      <c r="L260"/>
      <c r="M260"/>
    </row>
    <row r="261" spans="9:13" x14ac:dyDescent="0.25">
      <c r="I261"/>
      <c r="J261"/>
      <c r="K261"/>
      <c r="L261"/>
      <c r="M261"/>
    </row>
    <row r="262" spans="9:13" x14ac:dyDescent="0.25">
      <c r="I262"/>
      <c r="J262"/>
      <c r="K262"/>
      <c r="L262"/>
      <c r="M262"/>
    </row>
    <row r="263" spans="9:13" x14ac:dyDescent="0.25">
      <c r="I263"/>
      <c r="J263"/>
      <c r="K263"/>
      <c r="L263"/>
      <c r="M263"/>
    </row>
    <row r="264" spans="9:13" x14ac:dyDescent="0.25">
      <c r="I264"/>
      <c r="J264"/>
      <c r="K264"/>
      <c r="L264"/>
      <c r="M264"/>
    </row>
    <row r="265" spans="9:13" x14ac:dyDescent="0.25">
      <c r="I265"/>
      <c r="J265"/>
      <c r="K265"/>
      <c r="L265"/>
      <c r="M265"/>
    </row>
    <row r="266" spans="9:13" x14ac:dyDescent="0.25">
      <c r="I266"/>
      <c r="J266"/>
      <c r="K266"/>
      <c r="L266"/>
      <c r="M266"/>
    </row>
    <row r="267" spans="9:13" x14ac:dyDescent="0.25">
      <c r="I267"/>
      <c r="J267"/>
      <c r="K267"/>
      <c r="L267"/>
      <c r="M267"/>
    </row>
    <row r="268" spans="9:13" x14ac:dyDescent="0.25">
      <c r="I268"/>
      <c r="J268"/>
      <c r="K268"/>
      <c r="L268"/>
      <c r="M268"/>
    </row>
    <row r="269" spans="9:13" x14ac:dyDescent="0.25">
      <c r="I269"/>
      <c r="J269"/>
      <c r="K269"/>
      <c r="L269"/>
      <c r="M269"/>
    </row>
    <row r="270" spans="9:13" x14ac:dyDescent="0.25">
      <c r="I270"/>
      <c r="J270"/>
      <c r="K270"/>
      <c r="L270"/>
      <c r="M270"/>
    </row>
    <row r="271" spans="9:13" x14ac:dyDescent="0.25">
      <c r="I271"/>
      <c r="J271"/>
      <c r="K271"/>
      <c r="L271"/>
      <c r="M271"/>
    </row>
    <row r="272" spans="9:13" x14ac:dyDescent="0.25">
      <c r="I272"/>
      <c r="J272"/>
      <c r="K272"/>
      <c r="L272"/>
      <c r="M272"/>
    </row>
    <row r="273" spans="9:13" x14ac:dyDescent="0.25">
      <c r="I273"/>
      <c r="J273"/>
      <c r="K273"/>
      <c r="L273"/>
      <c r="M273"/>
    </row>
    <row r="274" spans="9:13" x14ac:dyDescent="0.25">
      <c r="I274"/>
      <c r="J274"/>
      <c r="K274"/>
      <c r="L274"/>
      <c r="M274"/>
    </row>
    <row r="275" spans="9:13" x14ac:dyDescent="0.25">
      <c r="I275"/>
      <c r="J275"/>
      <c r="K275"/>
      <c r="L275"/>
      <c r="M275"/>
    </row>
    <row r="276" spans="9:13" x14ac:dyDescent="0.25">
      <c r="I276"/>
      <c r="J276"/>
      <c r="K276"/>
      <c r="L276"/>
      <c r="M276"/>
    </row>
    <row r="277" spans="9:13" x14ac:dyDescent="0.25">
      <c r="I277"/>
      <c r="J277"/>
      <c r="K277"/>
      <c r="L277"/>
      <c r="M277"/>
    </row>
    <row r="278" spans="9:13" x14ac:dyDescent="0.25">
      <c r="I278"/>
      <c r="J278"/>
      <c r="K278"/>
      <c r="L278"/>
      <c r="M278"/>
    </row>
    <row r="279" spans="9:13" x14ac:dyDescent="0.25">
      <c r="I279"/>
      <c r="J279"/>
      <c r="K279"/>
      <c r="L279"/>
      <c r="M279"/>
    </row>
    <row r="280" spans="9:13" x14ac:dyDescent="0.25">
      <c r="I280"/>
      <c r="J280"/>
      <c r="K280"/>
      <c r="L280"/>
      <c r="M280"/>
    </row>
    <row r="281" spans="9:13" x14ac:dyDescent="0.25">
      <c r="I281"/>
      <c r="J281"/>
      <c r="K281"/>
      <c r="L281"/>
      <c r="M281"/>
    </row>
    <row r="282" spans="9:13" x14ac:dyDescent="0.25">
      <c r="I282"/>
      <c r="J282"/>
      <c r="K282"/>
      <c r="L282"/>
      <c r="M282"/>
    </row>
    <row r="283" spans="9:13" x14ac:dyDescent="0.25">
      <c r="I283"/>
      <c r="J283"/>
      <c r="K283"/>
      <c r="L283"/>
      <c r="M283"/>
    </row>
    <row r="284" spans="9:13" x14ac:dyDescent="0.25">
      <c r="I284"/>
      <c r="J284"/>
      <c r="K284"/>
      <c r="L284"/>
      <c r="M284"/>
    </row>
    <row r="285" spans="9:13" x14ac:dyDescent="0.25">
      <c r="I285"/>
      <c r="J285"/>
      <c r="K285"/>
      <c r="L285"/>
      <c r="M285"/>
    </row>
    <row r="286" spans="9:13" x14ac:dyDescent="0.25">
      <c r="I286"/>
      <c r="J286"/>
      <c r="K286"/>
      <c r="L286"/>
      <c r="M286"/>
    </row>
    <row r="287" spans="9:13" x14ac:dyDescent="0.25">
      <c r="I287"/>
      <c r="J287"/>
      <c r="K287"/>
      <c r="L287"/>
      <c r="M287"/>
    </row>
    <row r="288" spans="9:13" x14ac:dyDescent="0.25">
      <c r="I288"/>
      <c r="J288"/>
      <c r="K288"/>
      <c r="L288"/>
      <c r="M288"/>
    </row>
    <row r="289" spans="9:13" x14ac:dyDescent="0.25">
      <c r="I289"/>
      <c r="J289"/>
      <c r="K289"/>
      <c r="L289"/>
      <c r="M289"/>
    </row>
    <row r="290" spans="9:13" x14ac:dyDescent="0.25">
      <c r="I290"/>
      <c r="J290"/>
      <c r="K290"/>
      <c r="L290"/>
      <c r="M290"/>
    </row>
    <row r="291" spans="9:13" x14ac:dyDescent="0.25">
      <c r="I291"/>
      <c r="J291"/>
      <c r="K291"/>
      <c r="L291"/>
      <c r="M291"/>
    </row>
    <row r="292" spans="9:13" x14ac:dyDescent="0.25">
      <c r="I292"/>
      <c r="J292"/>
      <c r="K292"/>
      <c r="L292"/>
      <c r="M292"/>
    </row>
    <row r="293" spans="9:13" x14ac:dyDescent="0.25">
      <c r="I293"/>
      <c r="J293"/>
      <c r="K293"/>
      <c r="L293"/>
      <c r="M293"/>
    </row>
    <row r="294" spans="9:13" x14ac:dyDescent="0.25">
      <c r="I294"/>
      <c r="J294"/>
      <c r="K294"/>
      <c r="L294"/>
      <c r="M294"/>
    </row>
    <row r="295" spans="9:13" x14ac:dyDescent="0.25">
      <c r="I295"/>
      <c r="J295"/>
      <c r="K295"/>
      <c r="L295"/>
      <c r="M295"/>
    </row>
    <row r="296" spans="9:13" x14ac:dyDescent="0.25">
      <c r="I296"/>
      <c r="J296"/>
      <c r="K296"/>
      <c r="L296"/>
      <c r="M296"/>
    </row>
    <row r="297" spans="9:13" x14ac:dyDescent="0.25">
      <c r="I297"/>
      <c r="J297"/>
      <c r="K297"/>
      <c r="L297"/>
      <c r="M297"/>
    </row>
    <row r="298" spans="9:13" x14ac:dyDescent="0.25">
      <c r="I298"/>
      <c r="J298"/>
      <c r="K298"/>
      <c r="L298"/>
      <c r="M298"/>
    </row>
    <row r="299" spans="9:13" x14ac:dyDescent="0.25">
      <c r="I299"/>
      <c r="J299"/>
      <c r="K299"/>
      <c r="L299"/>
      <c r="M299"/>
    </row>
    <row r="300" spans="9:13" x14ac:dyDescent="0.25">
      <c r="I300"/>
      <c r="J300"/>
      <c r="K300"/>
      <c r="L300"/>
      <c r="M300"/>
    </row>
    <row r="301" spans="9:13" x14ac:dyDescent="0.25">
      <c r="I301"/>
      <c r="J301"/>
      <c r="K301"/>
      <c r="L301"/>
      <c r="M301"/>
    </row>
    <row r="302" spans="9:13" x14ac:dyDescent="0.25">
      <c r="I302"/>
      <c r="J302"/>
      <c r="K302"/>
      <c r="L302"/>
      <c r="M302"/>
    </row>
    <row r="303" spans="9:13" x14ac:dyDescent="0.25">
      <c r="I303"/>
      <c r="J303"/>
      <c r="K303"/>
      <c r="L303"/>
      <c r="M303"/>
    </row>
    <row r="304" spans="9:13" x14ac:dyDescent="0.25">
      <c r="I304"/>
      <c r="J304"/>
      <c r="K304"/>
      <c r="L304"/>
      <c r="M304"/>
    </row>
    <row r="305" spans="9:13" x14ac:dyDescent="0.25">
      <c r="I305"/>
      <c r="J305"/>
      <c r="K305"/>
      <c r="L305"/>
      <c r="M305"/>
    </row>
    <row r="306" spans="9:13" x14ac:dyDescent="0.25">
      <c r="I306"/>
      <c r="J306"/>
      <c r="K306"/>
      <c r="L306"/>
      <c r="M306"/>
    </row>
    <row r="307" spans="9:13" x14ac:dyDescent="0.25">
      <c r="I307"/>
      <c r="J307"/>
      <c r="K307"/>
      <c r="L307"/>
      <c r="M307"/>
    </row>
    <row r="308" spans="9:13" x14ac:dyDescent="0.25">
      <c r="I308"/>
      <c r="J308"/>
      <c r="K308"/>
      <c r="L308"/>
      <c r="M308"/>
    </row>
    <row r="309" spans="9:13" x14ac:dyDescent="0.25">
      <c r="I309"/>
      <c r="J309"/>
      <c r="K309"/>
      <c r="L309"/>
      <c r="M309"/>
    </row>
    <row r="310" spans="9:13" x14ac:dyDescent="0.25">
      <c r="I310"/>
      <c r="J310"/>
      <c r="K310"/>
      <c r="L310"/>
      <c r="M310"/>
    </row>
    <row r="311" spans="9:13" x14ac:dyDescent="0.25">
      <c r="I311"/>
      <c r="J311"/>
      <c r="K311"/>
      <c r="L311"/>
      <c r="M311"/>
    </row>
    <row r="312" spans="9:13" x14ac:dyDescent="0.25">
      <c r="I312"/>
      <c r="J312"/>
      <c r="K312"/>
      <c r="L312"/>
      <c r="M312"/>
    </row>
    <row r="313" spans="9:13" x14ac:dyDescent="0.25">
      <c r="I313"/>
      <c r="J313"/>
      <c r="K313"/>
      <c r="L313"/>
      <c r="M313"/>
    </row>
    <row r="314" spans="9:13" x14ac:dyDescent="0.25">
      <c r="I314"/>
      <c r="J314"/>
      <c r="K314"/>
      <c r="L314"/>
      <c r="M314"/>
    </row>
    <row r="315" spans="9:13" x14ac:dyDescent="0.25">
      <c r="I315"/>
      <c r="J315"/>
      <c r="K315"/>
      <c r="L315"/>
      <c r="M315"/>
    </row>
    <row r="316" spans="9:13" x14ac:dyDescent="0.25">
      <c r="I316"/>
      <c r="J316"/>
      <c r="K316"/>
      <c r="L316"/>
      <c r="M316"/>
    </row>
    <row r="317" spans="9:13" x14ac:dyDescent="0.25">
      <c r="I317"/>
      <c r="J317"/>
      <c r="K317"/>
      <c r="L317"/>
      <c r="M317"/>
    </row>
    <row r="318" spans="9:13" x14ac:dyDescent="0.25">
      <c r="I318"/>
      <c r="J318"/>
      <c r="K318"/>
      <c r="L318"/>
      <c r="M318"/>
    </row>
    <row r="319" spans="9:13" x14ac:dyDescent="0.25">
      <c r="I319"/>
      <c r="J319"/>
      <c r="K319"/>
      <c r="L319"/>
      <c r="M319"/>
    </row>
    <row r="320" spans="9:13" x14ac:dyDescent="0.25">
      <c r="I320"/>
      <c r="J320"/>
      <c r="K320"/>
      <c r="L320"/>
      <c r="M320"/>
    </row>
    <row r="321" spans="9:13" x14ac:dyDescent="0.25">
      <c r="I321"/>
      <c r="J321"/>
      <c r="K321"/>
      <c r="L321"/>
      <c r="M321"/>
    </row>
    <row r="322" spans="9:13" x14ac:dyDescent="0.25">
      <c r="I322"/>
      <c r="J322"/>
      <c r="K322"/>
      <c r="L322"/>
      <c r="M322"/>
    </row>
    <row r="323" spans="9:13" x14ac:dyDescent="0.25">
      <c r="I323"/>
      <c r="J323"/>
      <c r="K323"/>
      <c r="L323"/>
      <c r="M323"/>
    </row>
    <row r="324" spans="9:13" x14ac:dyDescent="0.25">
      <c r="I324"/>
      <c r="J324"/>
      <c r="K324"/>
      <c r="L324"/>
      <c r="M324"/>
    </row>
    <row r="325" spans="9:13" x14ac:dyDescent="0.25">
      <c r="I325"/>
      <c r="J325"/>
      <c r="K325"/>
      <c r="L325"/>
      <c r="M325"/>
    </row>
    <row r="326" spans="9:13" x14ac:dyDescent="0.25">
      <c r="I326"/>
      <c r="J326"/>
      <c r="K326"/>
      <c r="L326"/>
      <c r="M326"/>
    </row>
    <row r="327" spans="9:13" x14ac:dyDescent="0.25">
      <c r="I327"/>
      <c r="J327"/>
      <c r="K327"/>
      <c r="L327"/>
      <c r="M327"/>
    </row>
    <row r="328" spans="9:13" x14ac:dyDescent="0.25">
      <c r="I328"/>
      <c r="J328"/>
      <c r="K328"/>
      <c r="L328"/>
      <c r="M328"/>
    </row>
    <row r="329" spans="9:13" x14ac:dyDescent="0.25">
      <c r="I329"/>
      <c r="J329"/>
      <c r="K329"/>
      <c r="L329"/>
      <c r="M329"/>
    </row>
    <row r="330" spans="9:13" x14ac:dyDescent="0.25">
      <c r="I330"/>
      <c r="J330"/>
      <c r="K330"/>
      <c r="L330"/>
      <c r="M330"/>
    </row>
    <row r="331" spans="9:13" x14ac:dyDescent="0.25">
      <c r="I331"/>
      <c r="J331"/>
      <c r="K331"/>
      <c r="L331"/>
      <c r="M331"/>
    </row>
    <row r="332" spans="9:13" x14ac:dyDescent="0.25">
      <c r="I332"/>
      <c r="J332"/>
      <c r="K332"/>
      <c r="L332"/>
      <c r="M332"/>
    </row>
    <row r="333" spans="9:13" x14ac:dyDescent="0.25">
      <c r="I333"/>
      <c r="J333"/>
      <c r="K333"/>
      <c r="L333"/>
      <c r="M333"/>
    </row>
    <row r="334" spans="9:13" x14ac:dyDescent="0.25">
      <c r="I334"/>
      <c r="J334"/>
      <c r="K334"/>
      <c r="L334"/>
      <c r="M334"/>
    </row>
    <row r="335" spans="9:13" x14ac:dyDescent="0.25">
      <c r="I335"/>
      <c r="J335"/>
      <c r="K335"/>
      <c r="L335"/>
      <c r="M335"/>
    </row>
    <row r="336" spans="9:13" x14ac:dyDescent="0.25">
      <c r="I336"/>
      <c r="J336"/>
      <c r="K336"/>
      <c r="L336"/>
      <c r="M336"/>
    </row>
    <row r="337" spans="9:13" x14ac:dyDescent="0.25">
      <c r="I337"/>
      <c r="J337"/>
      <c r="K337"/>
      <c r="L337"/>
      <c r="M337"/>
    </row>
    <row r="338" spans="9:13" x14ac:dyDescent="0.25">
      <c r="I338"/>
      <c r="J338"/>
      <c r="K338"/>
      <c r="L338"/>
      <c r="M338"/>
    </row>
    <row r="339" spans="9:13" x14ac:dyDescent="0.25">
      <c r="I339"/>
      <c r="J339"/>
      <c r="K339"/>
      <c r="L339"/>
      <c r="M339"/>
    </row>
    <row r="340" spans="9:13" x14ac:dyDescent="0.25">
      <c r="I340"/>
      <c r="J340"/>
      <c r="K340"/>
      <c r="L340"/>
      <c r="M340"/>
    </row>
    <row r="341" spans="9:13" x14ac:dyDescent="0.25">
      <c r="I341"/>
      <c r="J341"/>
      <c r="K341"/>
      <c r="L341"/>
      <c r="M341"/>
    </row>
    <row r="342" spans="9:13" x14ac:dyDescent="0.25">
      <c r="I342"/>
      <c r="J342"/>
      <c r="K342"/>
      <c r="L342"/>
      <c r="M342"/>
    </row>
    <row r="343" spans="9:13" x14ac:dyDescent="0.25">
      <c r="I343"/>
      <c r="J343"/>
      <c r="K343"/>
      <c r="L343"/>
      <c r="M343"/>
    </row>
    <row r="344" spans="9:13" x14ac:dyDescent="0.25">
      <c r="I344"/>
      <c r="J344"/>
      <c r="K344"/>
      <c r="L344"/>
      <c r="M344"/>
    </row>
    <row r="345" spans="9:13" x14ac:dyDescent="0.25">
      <c r="I345"/>
      <c r="J345"/>
      <c r="K345"/>
      <c r="L345"/>
      <c r="M345"/>
    </row>
    <row r="346" spans="9:13" x14ac:dyDescent="0.25">
      <c r="I346"/>
      <c r="J346"/>
      <c r="K346"/>
      <c r="L346"/>
      <c r="M346"/>
    </row>
    <row r="347" spans="9:13" x14ac:dyDescent="0.25">
      <c r="I347"/>
      <c r="J347"/>
      <c r="K347"/>
      <c r="L347"/>
      <c r="M347"/>
    </row>
    <row r="348" spans="9:13" x14ac:dyDescent="0.25">
      <c r="I348"/>
      <c r="J348"/>
      <c r="K348"/>
      <c r="L348"/>
      <c r="M348"/>
    </row>
    <row r="349" spans="9:13" x14ac:dyDescent="0.25">
      <c r="I349"/>
      <c r="J349"/>
      <c r="K349"/>
      <c r="L349"/>
      <c r="M349"/>
    </row>
    <row r="350" spans="9:13" x14ac:dyDescent="0.25">
      <c r="I350"/>
      <c r="J350"/>
      <c r="K350"/>
      <c r="L350"/>
      <c r="M350"/>
    </row>
    <row r="351" spans="9:13" x14ac:dyDescent="0.25">
      <c r="I351"/>
      <c r="J351"/>
      <c r="K351"/>
      <c r="L351"/>
      <c r="M351"/>
    </row>
    <row r="352" spans="9:13" x14ac:dyDescent="0.25">
      <c r="I352"/>
      <c r="J352"/>
      <c r="K352"/>
      <c r="L352"/>
      <c r="M352"/>
    </row>
    <row r="353" spans="9:13" x14ac:dyDescent="0.25">
      <c r="I353"/>
      <c r="J353"/>
      <c r="K353"/>
      <c r="L353"/>
      <c r="M353"/>
    </row>
    <row r="354" spans="9:13" x14ac:dyDescent="0.25">
      <c r="I354"/>
      <c r="J354"/>
      <c r="K354"/>
      <c r="L354"/>
      <c r="M354"/>
    </row>
    <row r="355" spans="9:13" x14ac:dyDescent="0.25">
      <c r="I355"/>
      <c r="J355"/>
      <c r="K355"/>
      <c r="L355"/>
      <c r="M355"/>
    </row>
    <row r="356" spans="9:13" x14ac:dyDescent="0.25">
      <c r="I356"/>
      <c r="J356"/>
      <c r="K356"/>
      <c r="L356"/>
      <c r="M356"/>
    </row>
    <row r="357" spans="9:13" x14ac:dyDescent="0.25">
      <c r="I357"/>
      <c r="J357"/>
      <c r="K357"/>
      <c r="L357"/>
      <c r="M357"/>
    </row>
    <row r="358" spans="9:13" x14ac:dyDescent="0.25">
      <c r="I358"/>
      <c r="J358"/>
      <c r="K358"/>
      <c r="L358"/>
      <c r="M358"/>
    </row>
    <row r="359" spans="9:13" x14ac:dyDescent="0.25">
      <c r="I359"/>
      <c r="J359"/>
      <c r="K359"/>
      <c r="L359"/>
      <c r="M359"/>
    </row>
    <row r="360" spans="9:13" x14ac:dyDescent="0.25">
      <c r="I360"/>
      <c r="J360"/>
      <c r="K360"/>
      <c r="L360"/>
      <c r="M360"/>
    </row>
    <row r="361" spans="9:13" x14ac:dyDescent="0.25">
      <c r="I361"/>
      <c r="J361"/>
      <c r="K361"/>
      <c r="L361"/>
      <c r="M361"/>
    </row>
    <row r="362" spans="9:13" x14ac:dyDescent="0.25">
      <c r="I362"/>
      <c r="J362"/>
      <c r="K362"/>
      <c r="L362"/>
      <c r="M362"/>
    </row>
    <row r="363" spans="9:13" x14ac:dyDescent="0.25">
      <c r="I363"/>
      <c r="J363"/>
      <c r="K363"/>
      <c r="L363"/>
      <c r="M363"/>
    </row>
    <row r="364" spans="9:13" x14ac:dyDescent="0.25">
      <c r="I364"/>
      <c r="J364"/>
      <c r="K364"/>
      <c r="L364"/>
      <c r="M364"/>
    </row>
    <row r="365" spans="9:13" x14ac:dyDescent="0.25">
      <c r="I365"/>
      <c r="J365"/>
      <c r="K365"/>
      <c r="L365"/>
      <c r="M365"/>
    </row>
    <row r="366" spans="9:13" x14ac:dyDescent="0.25">
      <c r="I366"/>
      <c r="J366"/>
      <c r="K366"/>
      <c r="L366"/>
      <c r="M366"/>
    </row>
    <row r="367" spans="9:13" x14ac:dyDescent="0.25">
      <c r="I367"/>
      <c r="J367"/>
      <c r="K367"/>
      <c r="L367"/>
      <c r="M367"/>
    </row>
    <row r="368" spans="9:13" x14ac:dyDescent="0.25">
      <c r="I368"/>
      <c r="J368"/>
      <c r="K368"/>
      <c r="L368"/>
      <c r="M368"/>
    </row>
    <row r="369" spans="9:13" x14ac:dyDescent="0.25">
      <c r="I369"/>
      <c r="J369"/>
      <c r="K369"/>
      <c r="L369"/>
      <c r="M369"/>
    </row>
    <row r="370" spans="9:13" x14ac:dyDescent="0.25">
      <c r="I370"/>
      <c r="J370"/>
      <c r="K370"/>
      <c r="L370"/>
      <c r="M370"/>
    </row>
    <row r="371" spans="9:13" x14ac:dyDescent="0.25">
      <c r="I371"/>
      <c r="J371"/>
      <c r="K371"/>
      <c r="L371"/>
      <c r="M371"/>
    </row>
    <row r="372" spans="9:13" x14ac:dyDescent="0.25">
      <c r="I372"/>
      <c r="J372"/>
      <c r="K372"/>
      <c r="L372"/>
      <c r="M372"/>
    </row>
    <row r="373" spans="9:13" x14ac:dyDescent="0.25">
      <c r="I373"/>
      <c r="J373"/>
      <c r="K373"/>
      <c r="L373"/>
      <c r="M373"/>
    </row>
    <row r="374" spans="9:13" x14ac:dyDescent="0.25">
      <c r="I374"/>
      <c r="J374"/>
      <c r="K374"/>
      <c r="L374"/>
      <c r="M374"/>
    </row>
    <row r="375" spans="9:13" x14ac:dyDescent="0.25">
      <c r="I375"/>
      <c r="J375"/>
      <c r="K375"/>
      <c r="L375"/>
      <c r="M375"/>
    </row>
    <row r="376" spans="9:13" x14ac:dyDescent="0.25">
      <c r="I376"/>
      <c r="J376"/>
      <c r="K376"/>
      <c r="L376"/>
      <c r="M376"/>
    </row>
    <row r="377" spans="9:13" x14ac:dyDescent="0.25">
      <c r="I377"/>
      <c r="J377"/>
      <c r="K377"/>
      <c r="L377"/>
      <c r="M377"/>
    </row>
    <row r="378" spans="9:13" x14ac:dyDescent="0.25">
      <c r="I378"/>
      <c r="J378"/>
      <c r="K378"/>
      <c r="L378"/>
      <c r="M378"/>
    </row>
    <row r="379" spans="9:13" x14ac:dyDescent="0.25">
      <c r="I379"/>
      <c r="J379"/>
      <c r="K379"/>
      <c r="L379"/>
      <c r="M379"/>
    </row>
    <row r="380" spans="9:13" x14ac:dyDescent="0.25">
      <c r="I380"/>
      <c r="J380"/>
      <c r="K380"/>
      <c r="L380"/>
      <c r="M380"/>
    </row>
    <row r="381" spans="9:13" x14ac:dyDescent="0.25">
      <c r="I381"/>
      <c r="J381"/>
      <c r="K381"/>
      <c r="L381"/>
      <c r="M381"/>
    </row>
    <row r="382" spans="9:13" x14ac:dyDescent="0.25">
      <c r="I382"/>
      <c r="J382"/>
      <c r="K382"/>
      <c r="L382"/>
      <c r="M382"/>
    </row>
    <row r="383" spans="9:13" x14ac:dyDescent="0.25">
      <c r="I383"/>
      <c r="J383"/>
      <c r="K383"/>
      <c r="L383"/>
      <c r="M383"/>
    </row>
    <row r="384" spans="9:13" x14ac:dyDescent="0.25">
      <c r="I384"/>
      <c r="J384"/>
      <c r="K384"/>
      <c r="L384"/>
      <c r="M384"/>
    </row>
    <row r="385" spans="9:13" x14ac:dyDescent="0.25">
      <c r="I385"/>
      <c r="J385"/>
      <c r="K385"/>
      <c r="L385"/>
      <c r="M385"/>
    </row>
    <row r="386" spans="9:13" x14ac:dyDescent="0.25">
      <c r="I386"/>
      <c r="J386"/>
      <c r="K386"/>
      <c r="L386"/>
      <c r="M386"/>
    </row>
    <row r="387" spans="9:13" x14ac:dyDescent="0.25">
      <c r="I387"/>
      <c r="J387"/>
      <c r="K387"/>
      <c r="L387"/>
      <c r="M387"/>
    </row>
    <row r="388" spans="9:13" x14ac:dyDescent="0.25">
      <c r="I388"/>
      <c r="J388"/>
      <c r="K388"/>
      <c r="L388"/>
      <c r="M388"/>
    </row>
    <row r="389" spans="9:13" x14ac:dyDescent="0.25">
      <c r="I389"/>
      <c r="J389"/>
      <c r="K389"/>
      <c r="L389"/>
      <c r="M389"/>
    </row>
    <row r="390" spans="9:13" x14ac:dyDescent="0.25">
      <c r="I390"/>
      <c r="J390"/>
      <c r="K390"/>
      <c r="L390"/>
      <c r="M390"/>
    </row>
    <row r="391" spans="9:13" x14ac:dyDescent="0.25">
      <c r="I391"/>
      <c r="J391"/>
      <c r="K391"/>
      <c r="L391"/>
      <c r="M391"/>
    </row>
    <row r="392" spans="9:13" x14ac:dyDescent="0.25">
      <c r="I392"/>
      <c r="J392"/>
      <c r="K392"/>
      <c r="L392"/>
      <c r="M392"/>
    </row>
    <row r="393" spans="9:13" x14ac:dyDescent="0.25">
      <c r="I393"/>
      <c r="J393"/>
      <c r="K393"/>
      <c r="L393"/>
      <c r="M393"/>
    </row>
    <row r="394" spans="9:13" x14ac:dyDescent="0.25">
      <c r="I394"/>
      <c r="J394"/>
      <c r="K394"/>
      <c r="L394"/>
      <c r="M394"/>
    </row>
    <row r="395" spans="9:13" x14ac:dyDescent="0.25">
      <c r="I395"/>
      <c r="J395"/>
      <c r="K395"/>
      <c r="L395"/>
      <c r="M395"/>
    </row>
    <row r="396" spans="9:13" x14ac:dyDescent="0.25">
      <c r="I396"/>
      <c r="J396"/>
      <c r="K396"/>
      <c r="L396"/>
      <c r="M396"/>
    </row>
    <row r="397" spans="9:13" x14ac:dyDescent="0.25">
      <c r="I397"/>
      <c r="J397"/>
      <c r="K397"/>
      <c r="L397"/>
      <c r="M397"/>
    </row>
    <row r="398" spans="9:13" x14ac:dyDescent="0.25">
      <c r="I398"/>
      <c r="J398"/>
      <c r="K398"/>
      <c r="L398"/>
      <c r="M398"/>
    </row>
    <row r="399" spans="9:13" x14ac:dyDescent="0.25">
      <c r="I399"/>
      <c r="J399"/>
      <c r="K399"/>
      <c r="L399"/>
      <c r="M399"/>
    </row>
    <row r="400" spans="9:13" x14ac:dyDescent="0.25">
      <c r="I400"/>
      <c r="J400"/>
      <c r="K400"/>
      <c r="L400"/>
      <c r="M400"/>
    </row>
    <row r="401" spans="9:13" x14ac:dyDescent="0.25">
      <c r="I401"/>
      <c r="J401"/>
      <c r="K401"/>
      <c r="L401"/>
      <c r="M401"/>
    </row>
    <row r="402" spans="9:13" x14ac:dyDescent="0.25">
      <c r="I402"/>
      <c r="J402"/>
      <c r="K402"/>
      <c r="L402"/>
      <c r="M402"/>
    </row>
    <row r="403" spans="9:13" x14ac:dyDescent="0.25">
      <c r="I403"/>
      <c r="J403"/>
      <c r="K403"/>
      <c r="L403"/>
      <c r="M403"/>
    </row>
    <row r="404" spans="9:13" x14ac:dyDescent="0.25">
      <c r="I404"/>
      <c r="J404"/>
      <c r="K404"/>
      <c r="L404"/>
      <c r="M404"/>
    </row>
    <row r="405" spans="9:13" x14ac:dyDescent="0.25">
      <c r="I405"/>
      <c r="J405"/>
      <c r="K405"/>
      <c r="L405"/>
      <c r="M405"/>
    </row>
    <row r="406" spans="9:13" x14ac:dyDescent="0.25">
      <c r="I406"/>
      <c r="J406"/>
      <c r="K406"/>
      <c r="L406"/>
      <c r="M406"/>
    </row>
    <row r="407" spans="9:13" x14ac:dyDescent="0.25">
      <c r="I407"/>
      <c r="J407"/>
      <c r="K407"/>
      <c r="L407"/>
      <c r="M407"/>
    </row>
    <row r="408" spans="9:13" x14ac:dyDescent="0.25">
      <c r="I408"/>
      <c r="J408"/>
      <c r="K408"/>
      <c r="L408"/>
      <c r="M408"/>
    </row>
    <row r="409" spans="9:13" x14ac:dyDescent="0.25">
      <c r="I409"/>
      <c r="J409"/>
      <c r="K409"/>
      <c r="L409"/>
      <c r="M409"/>
    </row>
    <row r="410" spans="9:13" x14ac:dyDescent="0.25">
      <c r="I410"/>
      <c r="J410"/>
      <c r="K410"/>
      <c r="L410"/>
      <c r="M410"/>
    </row>
    <row r="411" spans="9:13" x14ac:dyDescent="0.25">
      <c r="I411"/>
      <c r="J411"/>
      <c r="K411"/>
      <c r="L411"/>
      <c r="M411"/>
    </row>
    <row r="412" spans="9:13" x14ac:dyDescent="0.25">
      <c r="I412"/>
      <c r="J412"/>
      <c r="K412"/>
      <c r="L412"/>
      <c r="M412"/>
    </row>
    <row r="413" spans="9:13" x14ac:dyDescent="0.25">
      <c r="I413"/>
      <c r="J413"/>
      <c r="K413"/>
      <c r="L413"/>
      <c r="M413"/>
    </row>
    <row r="414" spans="9:13" x14ac:dyDescent="0.25">
      <c r="I414"/>
      <c r="J414"/>
      <c r="K414"/>
      <c r="L414"/>
      <c r="M414"/>
    </row>
    <row r="415" spans="9:13" x14ac:dyDescent="0.25">
      <c r="I415"/>
      <c r="J415"/>
      <c r="K415"/>
      <c r="L415"/>
      <c r="M415"/>
    </row>
    <row r="416" spans="9:13" x14ac:dyDescent="0.25">
      <c r="I416"/>
      <c r="J416"/>
      <c r="K416"/>
      <c r="L416"/>
      <c r="M416"/>
    </row>
    <row r="417" spans="9:13" x14ac:dyDescent="0.25">
      <c r="I417"/>
      <c r="J417"/>
      <c r="K417"/>
      <c r="L417"/>
      <c r="M417"/>
    </row>
    <row r="418" spans="9:13" x14ac:dyDescent="0.25">
      <c r="I418"/>
      <c r="J418"/>
      <c r="K418"/>
      <c r="L418"/>
      <c r="M418"/>
    </row>
    <row r="419" spans="9:13" x14ac:dyDescent="0.25">
      <c r="I419"/>
      <c r="J419"/>
      <c r="K419"/>
      <c r="L419"/>
      <c r="M419"/>
    </row>
    <row r="420" spans="9:13" x14ac:dyDescent="0.25">
      <c r="I420"/>
      <c r="J420"/>
      <c r="K420"/>
      <c r="L420"/>
      <c r="M420"/>
    </row>
    <row r="421" spans="9:13" x14ac:dyDescent="0.25">
      <c r="I421"/>
      <c r="J421"/>
      <c r="K421"/>
      <c r="L421"/>
      <c r="M421"/>
    </row>
    <row r="422" spans="9:13" x14ac:dyDescent="0.25">
      <c r="I422"/>
      <c r="J422"/>
      <c r="K422"/>
      <c r="L422"/>
      <c r="M422"/>
    </row>
    <row r="423" spans="9:13" x14ac:dyDescent="0.25">
      <c r="I423"/>
      <c r="J423"/>
      <c r="K423"/>
      <c r="L423"/>
      <c r="M423"/>
    </row>
    <row r="424" spans="9:13" x14ac:dyDescent="0.25">
      <c r="I424"/>
      <c r="J424"/>
      <c r="K424"/>
      <c r="L424"/>
      <c r="M424"/>
    </row>
    <row r="425" spans="9:13" x14ac:dyDescent="0.25">
      <c r="I425"/>
      <c r="J425"/>
      <c r="K425"/>
      <c r="L425"/>
      <c r="M425"/>
    </row>
    <row r="426" spans="9:13" x14ac:dyDescent="0.25">
      <c r="I426"/>
      <c r="J426"/>
      <c r="K426"/>
      <c r="L426"/>
      <c r="M426"/>
    </row>
    <row r="427" spans="9:13" x14ac:dyDescent="0.25">
      <c r="I427"/>
      <c r="J427"/>
      <c r="K427"/>
      <c r="L427"/>
      <c r="M427"/>
    </row>
    <row r="428" spans="9:13" x14ac:dyDescent="0.25">
      <c r="I428"/>
      <c r="J428"/>
      <c r="K428"/>
      <c r="L428"/>
      <c r="M428"/>
    </row>
    <row r="429" spans="9:13" x14ac:dyDescent="0.25">
      <c r="I429"/>
      <c r="J429"/>
      <c r="K429"/>
      <c r="L429"/>
      <c r="M429"/>
    </row>
    <row r="430" spans="9:13" x14ac:dyDescent="0.25">
      <c r="I430"/>
      <c r="J430"/>
      <c r="K430"/>
      <c r="L430"/>
      <c r="M430"/>
    </row>
    <row r="431" spans="9:13" x14ac:dyDescent="0.25">
      <c r="I431"/>
      <c r="J431"/>
      <c r="K431"/>
      <c r="L431"/>
      <c r="M431"/>
    </row>
    <row r="432" spans="9:13" x14ac:dyDescent="0.25">
      <c r="I432"/>
      <c r="J432"/>
      <c r="K432"/>
      <c r="L432"/>
      <c r="M432"/>
    </row>
    <row r="433" spans="9:13" x14ac:dyDescent="0.25">
      <c r="I433"/>
      <c r="J433"/>
      <c r="K433"/>
      <c r="L433"/>
      <c r="M433"/>
    </row>
    <row r="434" spans="9:13" x14ac:dyDescent="0.25">
      <c r="I434"/>
      <c r="J434"/>
      <c r="K434"/>
      <c r="L434"/>
      <c r="M434"/>
    </row>
    <row r="435" spans="9:13" x14ac:dyDescent="0.25">
      <c r="I435"/>
      <c r="J435"/>
      <c r="K435"/>
      <c r="L435"/>
      <c r="M435"/>
    </row>
    <row r="436" spans="9:13" x14ac:dyDescent="0.25">
      <c r="I436"/>
      <c r="J436"/>
      <c r="K436"/>
      <c r="L436"/>
      <c r="M436"/>
    </row>
    <row r="437" spans="9:13" x14ac:dyDescent="0.25">
      <c r="I437"/>
      <c r="J437"/>
      <c r="K437"/>
      <c r="L437"/>
      <c r="M437"/>
    </row>
    <row r="438" spans="9:13" x14ac:dyDescent="0.25">
      <c r="I438"/>
      <c r="J438"/>
      <c r="K438"/>
      <c r="L438"/>
      <c r="M438"/>
    </row>
    <row r="439" spans="9:13" x14ac:dyDescent="0.25">
      <c r="I439"/>
      <c r="J439"/>
      <c r="K439"/>
      <c r="L439"/>
      <c r="M439"/>
    </row>
    <row r="440" spans="9:13" x14ac:dyDescent="0.25">
      <c r="I440"/>
      <c r="J440"/>
      <c r="K440"/>
      <c r="L440"/>
      <c r="M440"/>
    </row>
    <row r="441" spans="9:13" x14ac:dyDescent="0.25">
      <c r="I441"/>
      <c r="J441"/>
      <c r="K441"/>
      <c r="L441"/>
      <c r="M441"/>
    </row>
    <row r="442" spans="9:13" x14ac:dyDescent="0.25">
      <c r="I442"/>
      <c r="J442"/>
      <c r="K442"/>
      <c r="L442"/>
      <c r="M442"/>
    </row>
    <row r="443" spans="9:13" x14ac:dyDescent="0.25">
      <c r="I443"/>
      <c r="J443"/>
      <c r="K443"/>
      <c r="L443"/>
      <c r="M443"/>
    </row>
    <row r="444" spans="9:13" x14ac:dyDescent="0.25">
      <c r="I444"/>
      <c r="J444"/>
      <c r="K444"/>
      <c r="L444"/>
      <c r="M444"/>
    </row>
    <row r="445" spans="9:13" x14ac:dyDescent="0.25">
      <c r="I445"/>
      <c r="J445"/>
      <c r="K445"/>
      <c r="L445"/>
      <c r="M445"/>
    </row>
    <row r="446" spans="9:13" x14ac:dyDescent="0.25">
      <c r="I446"/>
      <c r="J446"/>
      <c r="K446"/>
      <c r="L446"/>
      <c r="M446"/>
    </row>
    <row r="447" spans="9:13" x14ac:dyDescent="0.25">
      <c r="I447"/>
      <c r="J447"/>
      <c r="K447"/>
      <c r="L447"/>
      <c r="M447"/>
    </row>
    <row r="448" spans="9:13" x14ac:dyDescent="0.25">
      <c r="I448"/>
      <c r="J448"/>
      <c r="K448"/>
      <c r="L448"/>
      <c r="M448"/>
    </row>
    <row r="449" spans="9:13" x14ac:dyDescent="0.25">
      <c r="I449"/>
      <c r="J449"/>
      <c r="K449"/>
      <c r="L449"/>
      <c r="M449"/>
    </row>
    <row r="450" spans="9:13" x14ac:dyDescent="0.25">
      <c r="I450"/>
      <c r="J450"/>
      <c r="K450"/>
      <c r="L450"/>
      <c r="M450"/>
    </row>
    <row r="451" spans="9:13" x14ac:dyDescent="0.25">
      <c r="I451"/>
      <c r="J451"/>
      <c r="K451"/>
      <c r="L451"/>
      <c r="M451"/>
    </row>
    <row r="452" spans="9:13" x14ac:dyDescent="0.25">
      <c r="I452"/>
      <c r="J452"/>
      <c r="K452"/>
      <c r="L452"/>
      <c r="M452"/>
    </row>
    <row r="453" spans="9:13" x14ac:dyDescent="0.25">
      <c r="I453"/>
      <c r="J453"/>
      <c r="K453"/>
      <c r="L453"/>
      <c r="M453"/>
    </row>
    <row r="454" spans="9:13" x14ac:dyDescent="0.25">
      <c r="I454"/>
      <c r="J454"/>
      <c r="K454"/>
      <c r="L454"/>
      <c r="M454"/>
    </row>
    <row r="455" spans="9:13" x14ac:dyDescent="0.25">
      <c r="I455"/>
      <c r="J455"/>
      <c r="K455"/>
      <c r="L455"/>
      <c r="M455"/>
    </row>
    <row r="456" spans="9:13" x14ac:dyDescent="0.25">
      <c r="I456"/>
      <c r="J456"/>
      <c r="K456"/>
      <c r="L456"/>
      <c r="M456"/>
    </row>
    <row r="457" spans="9:13" x14ac:dyDescent="0.25">
      <c r="I457"/>
      <c r="J457"/>
      <c r="K457"/>
      <c r="L457"/>
      <c r="M457"/>
    </row>
    <row r="458" spans="9:13" x14ac:dyDescent="0.25">
      <c r="I458"/>
      <c r="J458"/>
      <c r="K458"/>
      <c r="L458"/>
      <c r="M458"/>
    </row>
    <row r="459" spans="9:13" x14ac:dyDescent="0.25">
      <c r="I459"/>
      <c r="J459"/>
      <c r="K459"/>
      <c r="L459"/>
      <c r="M459"/>
    </row>
    <row r="460" spans="9:13" x14ac:dyDescent="0.25">
      <c r="I460"/>
      <c r="J460"/>
      <c r="K460"/>
      <c r="L460"/>
      <c r="M460"/>
    </row>
    <row r="461" spans="9:13" x14ac:dyDescent="0.25">
      <c r="I461"/>
      <c r="J461"/>
      <c r="K461"/>
      <c r="L461"/>
      <c r="M461"/>
    </row>
    <row r="462" spans="9:13" x14ac:dyDescent="0.25">
      <c r="I462"/>
      <c r="J462"/>
      <c r="K462"/>
      <c r="L462"/>
      <c r="M462"/>
    </row>
    <row r="463" spans="9:13" x14ac:dyDescent="0.25">
      <c r="I463"/>
      <c r="J463"/>
      <c r="K463"/>
      <c r="L463"/>
      <c r="M463"/>
    </row>
    <row r="464" spans="9:13" x14ac:dyDescent="0.25">
      <c r="I464"/>
      <c r="J464"/>
      <c r="K464"/>
      <c r="L464"/>
      <c r="M464"/>
    </row>
    <row r="465" spans="9:13" x14ac:dyDescent="0.25">
      <c r="I465"/>
      <c r="J465"/>
      <c r="K465"/>
      <c r="L465"/>
      <c r="M465"/>
    </row>
    <row r="466" spans="9:13" x14ac:dyDescent="0.25">
      <c r="I466"/>
      <c r="J466"/>
      <c r="K466"/>
      <c r="L466"/>
      <c r="M466"/>
    </row>
    <row r="467" spans="9:13" x14ac:dyDescent="0.25">
      <c r="I467"/>
      <c r="J467"/>
      <c r="K467"/>
      <c r="L467"/>
      <c r="M467"/>
    </row>
    <row r="468" spans="9:13" x14ac:dyDescent="0.25">
      <c r="I468"/>
      <c r="J468"/>
      <c r="K468"/>
      <c r="L468"/>
      <c r="M468"/>
    </row>
    <row r="469" spans="9:13" x14ac:dyDescent="0.25">
      <c r="I469"/>
      <c r="J469"/>
      <c r="K469"/>
      <c r="L469"/>
      <c r="M469"/>
    </row>
    <row r="470" spans="9:13" x14ac:dyDescent="0.25">
      <c r="I470"/>
      <c r="J470"/>
      <c r="K470"/>
      <c r="L470"/>
      <c r="M470"/>
    </row>
    <row r="471" spans="9:13" x14ac:dyDescent="0.25">
      <c r="I471"/>
      <c r="J471"/>
      <c r="K471"/>
      <c r="L471"/>
      <c r="M471"/>
    </row>
    <row r="472" spans="9:13" x14ac:dyDescent="0.25">
      <c r="I472"/>
      <c r="J472"/>
      <c r="K472"/>
      <c r="L472"/>
      <c r="M472"/>
    </row>
    <row r="473" spans="9:13" x14ac:dyDescent="0.25">
      <c r="I473"/>
      <c r="J473"/>
      <c r="K473"/>
      <c r="L473"/>
      <c r="M473"/>
    </row>
    <row r="474" spans="9:13" x14ac:dyDescent="0.25">
      <c r="I474"/>
      <c r="J474"/>
      <c r="K474"/>
      <c r="L474"/>
      <c r="M474"/>
    </row>
    <row r="475" spans="9:13" x14ac:dyDescent="0.25">
      <c r="I475"/>
      <c r="J475"/>
      <c r="K475"/>
      <c r="L475"/>
      <c r="M475"/>
    </row>
    <row r="476" spans="9:13" x14ac:dyDescent="0.25">
      <c r="I476"/>
      <c r="J476"/>
      <c r="K476"/>
      <c r="L476"/>
      <c r="M476"/>
    </row>
    <row r="477" spans="9:13" x14ac:dyDescent="0.25">
      <c r="I477"/>
      <c r="J477"/>
      <c r="K477"/>
      <c r="L477"/>
      <c r="M477"/>
    </row>
    <row r="478" spans="9:13" x14ac:dyDescent="0.25">
      <c r="I478"/>
      <c r="J478"/>
      <c r="K478"/>
      <c r="L478"/>
      <c r="M478"/>
    </row>
    <row r="479" spans="9:13" x14ac:dyDescent="0.25">
      <c r="I479"/>
      <c r="J479"/>
      <c r="K479"/>
      <c r="L479"/>
      <c r="M479"/>
    </row>
    <row r="480" spans="9:13" x14ac:dyDescent="0.25">
      <c r="I480"/>
      <c r="J480"/>
      <c r="K480"/>
      <c r="L480"/>
      <c r="M480"/>
    </row>
    <row r="481" spans="9:13" x14ac:dyDescent="0.25">
      <c r="I481"/>
      <c r="J481"/>
      <c r="K481"/>
      <c r="L481"/>
      <c r="M481"/>
    </row>
    <row r="482" spans="9:13" x14ac:dyDescent="0.25">
      <c r="I482"/>
      <c r="J482"/>
      <c r="K482"/>
      <c r="L482"/>
      <c r="M482"/>
    </row>
    <row r="483" spans="9:13" x14ac:dyDescent="0.25">
      <c r="I483"/>
      <c r="J483"/>
      <c r="K483"/>
      <c r="L483"/>
      <c r="M483"/>
    </row>
    <row r="484" spans="9:13" x14ac:dyDescent="0.25">
      <c r="I484"/>
      <c r="J484"/>
      <c r="K484"/>
      <c r="L484"/>
      <c r="M484"/>
    </row>
    <row r="485" spans="9:13" x14ac:dyDescent="0.25">
      <c r="I485"/>
      <c r="J485"/>
      <c r="K485"/>
      <c r="L485"/>
      <c r="M485"/>
    </row>
    <row r="486" spans="9:13" x14ac:dyDescent="0.25">
      <c r="I486"/>
      <c r="J486"/>
      <c r="K486"/>
      <c r="L486"/>
      <c r="M486"/>
    </row>
    <row r="487" spans="9:13" x14ac:dyDescent="0.25">
      <c r="I487"/>
      <c r="J487"/>
      <c r="K487"/>
      <c r="L487"/>
      <c r="M487"/>
    </row>
    <row r="488" spans="9:13" x14ac:dyDescent="0.25">
      <c r="I488"/>
      <c r="J488"/>
      <c r="K488"/>
      <c r="L488"/>
      <c r="M488"/>
    </row>
    <row r="489" spans="9:13" x14ac:dyDescent="0.25">
      <c r="I489"/>
      <c r="J489"/>
      <c r="K489"/>
      <c r="L489"/>
      <c r="M489"/>
    </row>
    <row r="490" spans="9:13" x14ac:dyDescent="0.25">
      <c r="I490"/>
      <c r="J490"/>
      <c r="K490"/>
      <c r="L490"/>
      <c r="M490"/>
    </row>
    <row r="491" spans="9:13" x14ac:dyDescent="0.25">
      <c r="I491"/>
      <c r="J491"/>
      <c r="K491"/>
      <c r="L491"/>
      <c r="M491"/>
    </row>
    <row r="492" spans="9:13" x14ac:dyDescent="0.25">
      <c r="I492"/>
      <c r="J492"/>
      <c r="K492"/>
      <c r="L492"/>
      <c r="M492"/>
    </row>
    <row r="493" spans="9:13" x14ac:dyDescent="0.25">
      <c r="I493"/>
      <c r="J493"/>
      <c r="K493"/>
      <c r="L493"/>
      <c r="M493"/>
    </row>
    <row r="494" spans="9:13" x14ac:dyDescent="0.25">
      <c r="I494"/>
      <c r="J494"/>
      <c r="K494"/>
      <c r="L494"/>
      <c r="M494"/>
    </row>
    <row r="495" spans="9:13" x14ac:dyDescent="0.25">
      <c r="I495"/>
      <c r="J495"/>
      <c r="K495"/>
      <c r="L495"/>
      <c r="M495"/>
    </row>
    <row r="496" spans="9:13" x14ac:dyDescent="0.25">
      <c r="I496"/>
      <c r="J496"/>
      <c r="K496"/>
      <c r="L496"/>
      <c r="M496"/>
    </row>
    <row r="497" spans="9:13" x14ac:dyDescent="0.25">
      <c r="I497"/>
      <c r="J497"/>
      <c r="K497"/>
      <c r="L497"/>
      <c r="M497"/>
    </row>
    <row r="498" spans="9:13" x14ac:dyDescent="0.25">
      <c r="I498"/>
      <c r="J498"/>
      <c r="K498"/>
      <c r="L498"/>
      <c r="M498"/>
    </row>
    <row r="499" spans="9:13" x14ac:dyDescent="0.25">
      <c r="I499"/>
      <c r="J499"/>
      <c r="K499"/>
      <c r="L499"/>
      <c r="M499"/>
    </row>
    <row r="500" spans="9:13" x14ac:dyDescent="0.25">
      <c r="I500"/>
      <c r="J500"/>
      <c r="K500"/>
      <c r="L500"/>
      <c r="M500"/>
    </row>
    <row r="501" spans="9:13" x14ac:dyDescent="0.25">
      <c r="I501"/>
      <c r="J501"/>
      <c r="K501"/>
      <c r="L501"/>
      <c r="M501"/>
    </row>
    <row r="502" spans="9:13" x14ac:dyDescent="0.25">
      <c r="I502"/>
      <c r="J502"/>
      <c r="K502"/>
      <c r="L502"/>
      <c r="M502"/>
    </row>
    <row r="503" spans="9:13" x14ac:dyDescent="0.25">
      <c r="I503"/>
      <c r="J503"/>
      <c r="K503"/>
      <c r="L503"/>
      <c r="M503"/>
    </row>
    <row r="504" spans="9:13" x14ac:dyDescent="0.25">
      <c r="I504"/>
      <c r="J504"/>
      <c r="K504"/>
      <c r="L504"/>
      <c r="M504"/>
    </row>
    <row r="505" spans="9:13" x14ac:dyDescent="0.25">
      <c r="I505"/>
      <c r="J505"/>
      <c r="K505"/>
      <c r="L505"/>
      <c r="M505"/>
    </row>
    <row r="506" spans="9:13" x14ac:dyDescent="0.25">
      <c r="I506"/>
      <c r="J506"/>
      <c r="K506"/>
      <c r="L506"/>
      <c r="M506"/>
    </row>
    <row r="507" spans="9:13" x14ac:dyDescent="0.25">
      <c r="I507"/>
      <c r="J507"/>
      <c r="K507"/>
      <c r="L507"/>
      <c r="M507"/>
    </row>
    <row r="508" spans="9:13" x14ac:dyDescent="0.25">
      <c r="I508"/>
      <c r="J508"/>
      <c r="K508"/>
      <c r="L508"/>
      <c r="M508"/>
    </row>
    <row r="509" spans="9:13" x14ac:dyDescent="0.25">
      <c r="I509"/>
      <c r="J509"/>
      <c r="K509"/>
      <c r="L509"/>
      <c r="M509"/>
    </row>
    <row r="510" spans="9:13" x14ac:dyDescent="0.25">
      <c r="I510"/>
      <c r="J510"/>
      <c r="K510"/>
      <c r="L510"/>
      <c r="M510"/>
    </row>
    <row r="511" spans="9:13" x14ac:dyDescent="0.25">
      <c r="I511"/>
      <c r="J511"/>
      <c r="K511"/>
      <c r="L511"/>
      <c r="M511"/>
    </row>
    <row r="512" spans="9:13" x14ac:dyDescent="0.25">
      <c r="I512"/>
      <c r="J512"/>
      <c r="K512"/>
      <c r="L512"/>
      <c r="M512"/>
    </row>
    <row r="513" spans="9:13" x14ac:dyDescent="0.25">
      <c r="I513"/>
      <c r="J513"/>
      <c r="K513"/>
      <c r="L513"/>
      <c r="M513"/>
    </row>
    <row r="514" spans="9:13" x14ac:dyDescent="0.25">
      <c r="I514"/>
      <c r="J514"/>
      <c r="K514"/>
      <c r="L514"/>
      <c r="M514"/>
    </row>
    <row r="515" spans="9:13" x14ac:dyDescent="0.25">
      <c r="I515"/>
      <c r="J515"/>
      <c r="K515"/>
      <c r="L515"/>
      <c r="M515"/>
    </row>
    <row r="516" spans="9:13" x14ac:dyDescent="0.25">
      <c r="I516"/>
      <c r="J516"/>
      <c r="K516"/>
      <c r="L516"/>
      <c r="M516"/>
    </row>
    <row r="517" spans="9:13" x14ac:dyDescent="0.25">
      <c r="I517"/>
      <c r="J517"/>
      <c r="K517"/>
      <c r="L517"/>
      <c r="M517"/>
    </row>
    <row r="518" spans="9:13" x14ac:dyDescent="0.25">
      <c r="I518"/>
      <c r="J518"/>
      <c r="K518"/>
      <c r="L518"/>
      <c r="M518"/>
    </row>
    <row r="519" spans="9:13" x14ac:dyDescent="0.25">
      <c r="I519"/>
      <c r="J519"/>
      <c r="K519"/>
      <c r="L519"/>
      <c r="M519"/>
    </row>
    <row r="520" spans="9:13" x14ac:dyDescent="0.25">
      <c r="I520"/>
      <c r="J520"/>
      <c r="K520"/>
      <c r="L520"/>
      <c r="M520"/>
    </row>
    <row r="521" spans="9:13" x14ac:dyDescent="0.25">
      <c r="I521"/>
      <c r="J521"/>
      <c r="K521"/>
      <c r="L521"/>
      <c r="M521"/>
    </row>
    <row r="522" spans="9:13" x14ac:dyDescent="0.25">
      <c r="I522"/>
      <c r="J522"/>
      <c r="K522"/>
      <c r="L522"/>
      <c r="M522"/>
    </row>
    <row r="523" spans="9:13" x14ac:dyDescent="0.25">
      <c r="I523"/>
      <c r="J523"/>
      <c r="K523"/>
      <c r="L523"/>
      <c r="M523"/>
    </row>
    <row r="524" spans="9:13" x14ac:dyDescent="0.25">
      <c r="I524"/>
      <c r="J524"/>
      <c r="K524"/>
      <c r="L524"/>
      <c r="M524"/>
    </row>
    <row r="525" spans="9:13" x14ac:dyDescent="0.25">
      <c r="I525"/>
      <c r="J525"/>
      <c r="K525"/>
      <c r="L525"/>
      <c r="M525"/>
    </row>
    <row r="526" spans="9:13" x14ac:dyDescent="0.25">
      <c r="I526"/>
      <c r="J526"/>
      <c r="K526"/>
      <c r="L526"/>
      <c r="M526"/>
    </row>
    <row r="527" spans="9:13" x14ac:dyDescent="0.25">
      <c r="I527"/>
      <c r="J527"/>
      <c r="K527"/>
      <c r="L527"/>
      <c r="M527"/>
    </row>
    <row r="528" spans="9:13" x14ac:dyDescent="0.25">
      <c r="I528"/>
      <c r="J528"/>
      <c r="K528"/>
      <c r="L528"/>
      <c r="M528"/>
    </row>
    <row r="529" spans="9:13" x14ac:dyDescent="0.25">
      <c r="I529"/>
      <c r="J529"/>
      <c r="K529"/>
      <c r="L529"/>
      <c r="M529"/>
    </row>
    <row r="530" spans="9:13" x14ac:dyDescent="0.25">
      <c r="I530"/>
      <c r="J530"/>
      <c r="K530"/>
      <c r="L530"/>
      <c r="M530"/>
    </row>
    <row r="531" spans="9:13" x14ac:dyDescent="0.25">
      <c r="I531"/>
      <c r="J531"/>
      <c r="K531"/>
      <c r="L531"/>
      <c r="M531"/>
    </row>
    <row r="532" spans="9:13" x14ac:dyDescent="0.25">
      <c r="I532"/>
      <c r="J532"/>
      <c r="K532"/>
      <c r="L532"/>
      <c r="M532"/>
    </row>
    <row r="533" spans="9:13" x14ac:dyDescent="0.25">
      <c r="I533"/>
      <c r="J533"/>
      <c r="K533"/>
      <c r="L533"/>
      <c r="M533"/>
    </row>
    <row r="534" spans="9:13" x14ac:dyDescent="0.25">
      <c r="I534"/>
      <c r="J534"/>
      <c r="K534"/>
      <c r="L534"/>
      <c r="M534"/>
    </row>
    <row r="535" spans="9:13" x14ac:dyDescent="0.25">
      <c r="I535"/>
      <c r="J535"/>
      <c r="K535"/>
      <c r="L535"/>
      <c r="M535"/>
    </row>
    <row r="536" spans="9:13" x14ac:dyDescent="0.25">
      <c r="I536"/>
      <c r="J536"/>
      <c r="K536"/>
      <c r="L536"/>
      <c r="M536"/>
    </row>
    <row r="537" spans="9:13" x14ac:dyDescent="0.25">
      <c r="I537"/>
      <c r="J537"/>
      <c r="K537"/>
      <c r="L537"/>
      <c r="M537"/>
    </row>
    <row r="538" spans="9:13" x14ac:dyDescent="0.25">
      <c r="I538"/>
      <c r="J538"/>
      <c r="K538"/>
      <c r="L538"/>
      <c r="M538"/>
    </row>
    <row r="539" spans="9:13" x14ac:dyDescent="0.25">
      <c r="I539"/>
      <c r="J539"/>
      <c r="K539"/>
      <c r="L539"/>
      <c r="M539"/>
    </row>
    <row r="540" spans="9:13" x14ac:dyDescent="0.25">
      <c r="I540"/>
      <c r="J540"/>
      <c r="K540"/>
      <c r="L540"/>
      <c r="M540"/>
    </row>
    <row r="541" spans="9:13" x14ac:dyDescent="0.25">
      <c r="I541"/>
      <c r="J541"/>
      <c r="K541"/>
      <c r="L541"/>
      <c r="M541"/>
    </row>
    <row r="542" spans="9:13" x14ac:dyDescent="0.25">
      <c r="I542"/>
      <c r="J542"/>
      <c r="K542"/>
      <c r="L542"/>
      <c r="M542"/>
    </row>
    <row r="543" spans="9:13" x14ac:dyDescent="0.25">
      <c r="I543"/>
      <c r="J543"/>
      <c r="K543"/>
      <c r="L543"/>
      <c r="M543"/>
    </row>
    <row r="544" spans="9:13" x14ac:dyDescent="0.25">
      <c r="I544"/>
      <c r="J544"/>
      <c r="K544"/>
      <c r="L544"/>
      <c r="M544"/>
    </row>
    <row r="545" spans="9:13" x14ac:dyDescent="0.25">
      <c r="I545"/>
      <c r="J545"/>
      <c r="K545"/>
      <c r="L545"/>
      <c r="M545"/>
    </row>
    <row r="546" spans="9:13" x14ac:dyDescent="0.25">
      <c r="I546"/>
      <c r="J546"/>
      <c r="K546"/>
      <c r="L546"/>
      <c r="M546"/>
    </row>
    <row r="547" spans="9:13" x14ac:dyDescent="0.25">
      <c r="I547"/>
      <c r="J547"/>
      <c r="K547"/>
      <c r="L547"/>
      <c r="M547"/>
    </row>
    <row r="548" spans="9:13" x14ac:dyDescent="0.25">
      <c r="I548"/>
      <c r="J548"/>
      <c r="K548"/>
      <c r="L548"/>
      <c r="M548"/>
    </row>
    <row r="549" spans="9:13" x14ac:dyDescent="0.25">
      <c r="I549"/>
      <c r="J549"/>
      <c r="K549"/>
      <c r="L549"/>
      <c r="M549"/>
    </row>
    <row r="550" spans="9:13" x14ac:dyDescent="0.25">
      <c r="I550"/>
      <c r="J550"/>
      <c r="K550"/>
      <c r="L550"/>
      <c r="M550"/>
    </row>
    <row r="551" spans="9:13" x14ac:dyDescent="0.25">
      <c r="I551"/>
      <c r="J551"/>
      <c r="K551"/>
      <c r="L551"/>
      <c r="M551"/>
    </row>
    <row r="552" spans="9:13" x14ac:dyDescent="0.25">
      <c r="I552"/>
      <c r="J552"/>
      <c r="K552"/>
      <c r="L552"/>
      <c r="M552"/>
    </row>
    <row r="553" spans="9:13" x14ac:dyDescent="0.25">
      <c r="I553"/>
      <c r="J553"/>
      <c r="K553"/>
      <c r="L553"/>
      <c r="M553"/>
    </row>
    <row r="554" spans="9:13" x14ac:dyDescent="0.25">
      <c r="I554"/>
      <c r="J554"/>
      <c r="K554"/>
      <c r="L554"/>
      <c r="M554"/>
    </row>
    <row r="555" spans="9:13" x14ac:dyDescent="0.25">
      <c r="I555"/>
      <c r="J555"/>
      <c r="K555"/>
      <c r="L555"/>
      <c r="M555"/>
    </row>
    <row r="556" spans="9:13" x14ac:dyDescent="0.25">
      <c r="I556"/>
      <c r="J556"/>
      <c r="K556"/>
      <c r="L556"/>
      <c r="M556"/>
    </row>
    <row r="557" spans="9:13" x14ac:dyDescent="0.25">
      <c r="I557"/>
      <c r="J557"/>
      <c r="K557"/>
      <c r="L557"/>
      <c r="M557"/>
    </row>
    <row r="558" spans="9:13" x14ac:dyDescent="0.25">
      <c r="I558"/>
      <c r="J558"/>
      <c r="K558"/>
      <c r="L558"/>
      <c r="M558"/>
    </row>
    <row r="559" spans="9:13" x14ac:dyDescent="0.25">
      <c r="I559"/>
      <c r="J559"/>
      <c r="K559"/>
      <c r="L559"/>
      <c r="M559"/>
    </row>
    <row r="560" spans="9:13" x14ac:dyDescent="0.25">
      <c r="I560"/>
      <c r="J560"/>
      <c r="K560"/>
      <c r="L560"/>
      <c r="M560"/>
    </row>
    <row r="561" spans="9:13" x14ac:dyDescent="0.25">
      <c r="I561"/>
      <c r="J561"/>
      <c r="K561"/>
      <c r="L561"/>
      <c r="M561"/>
    </row>
    <row r="562" spans="9:13" x14ac:dyDescent="0.25">
      <c r="I562"/>
      <c r="J562"/>
      <c r="K562"/>
      <c r="L562"/>
      <c r="M562"/>
    </row>
    <row r="563" spans="9:13" x14ac:dyDescent="0.25">
      <c r="I563"/>
      <c r="J563"/>
      <c r="K563"/>
      <c r="L563"/>
      <c r="M563"/>
    </row>
    <row r="564" spans="9:13" x14ac:dyDescent="0.25">
      <c r="I564"/>
      <c r="J564"/>
      <c r="K564"/>
      <c r="L564"/>
      <c r="M564"/>
    </row>
    <row r="565" spans="9:13" x14ac:dyDescent="0.25">
      <c r="I565"/>
      <c r="J565"/>
      <c r="K565"/>
      <c r="L565"/>
      <c r="M565"/>
    </row>
    <row r="566" spans="9:13" x14ac:dyDescent="0.25">
      <c r="I566"/>
      <c r="J566"/>
      <c r="K566"/>
      <c r="L566"/>
      <c r="M566"/>
    </row>
    <row r="567" spans="9:13" x14ac:dyDescent="0.25">
      <c r="I567"/>
      <c r="J567"/>
      <c r="K567"/>
      <c r="L567"/>
      <c r="M567"/>
    </row>
    <row r="568" spans="9:13" x14ac:dyDescent="0.25">
      <c r="I568"/>
      <c r="J568"/>
      <c r="K568"/>
      <c r="L568"/>
      <c r="M568"/>
    </row>
    <row r="569" spans="9:13" x14ac:dyDescent="0.25">
      <c r="I569"/>
      <c r="J569"/>
      <c r="K569"/>
      <c r="L569"/>
      <c r="M569"/>
    </row>
    <row r="570" spans="9:13" x14ac:dyDescent="0.25">
      <c r="I570"/>
      <c r="J570"/>
      <c r="K570"/>
      <c r="L570"/>
      <c r="M570"/>
    </row>
    <row r="571" spans="9:13" x14ac:dyDescent="0.25">
      <c r="I571"/>
      <c r="J571"/>
      <c r="K571"/>
      <c r="L571"/>
      <c r="M571"/>
    </row>
    <row r="572" spans="9:13" x14ac:dyDescent="0.25">
      <c r="I572"/>
      <c r="J572"/>
      <c r="K572"/>
      <c r="L572"/>
      <c r="M572"/>
    </row>
    <row r="573" spans="9:13" x14ac:dyDescent="0.25">
      <c r="I573"/>
      <c r="J573"/>
      <c r="K573"/>
      <c r="L573"/>
      <c r="M573"/>
    </row>
    <row r="574" spans="9:13" x14ac:dyDescent="0.25">
      <c r="I574"/>
      <c r="J574"/>
      <c r="K574"/>
      <c r="L574"/>
      <c r="M574"/>
    </row>
    <row r="575" spans="9:13" x14ac:dyDescent="0.25">
      <c r="I575"/>
      <c r="J575"/>
      <c r="K575"/>
      <c r="L575"/>
      <c r="M575"/>
    </row>
    <row r="576" spans="9:13" x14ac:dyDescent="0.25">
      <c r="I576"/>
      <c r="J576"/>
      <c r="K576"/>
      <c r="L576"/>
      <c r="M576"/>
    </row>
    <row r="577" spans="9:13" x14ac:dyDescent="0.25">
      <c r="I577"/>
      <c r="J577"/>
      <c r="K577"/>
      <c r="L577"/>
      <c r="M577"/>
    </row>
    <row r="578" spans="9:13" x14ac:dyDescent="0.25">
      <c r="I578"/>
      <c r="J578"/>
      <c r="K578"/>
      <c r="L578"/>
      <c r="M578"/>
    </row>
    <row r="579" spans="9:13" x14ac:dyDescent="0.25">
      <c r="I579"/>
      <c r="J579"/>
      <c r="K579"/>
      <c r="L579"/>
      <c r="M579"/>
    </row>
    <row r="580" spans="9:13" x14ac:dyDescent="0.25">
      <c r="I580"/>
      <c r="J580"/>
      <c r="K580"/>
      <c r="L580"/>
      <c r="M580"/>
    </row>
    <row r="581" spans="9:13" x14ac:dyDescent="0.25">
      <c r="I581"/>
      <c r="J581"/>
      <c r="K581"/>
      <c r="L581"/>
      <c r="M581"/>
    </row>
    <row r="582" spans="9:13" x14ac:dyDescent="0.25">
      <c r="I582"/>
      <c r="J582"/>
      <c r="K582"/>
      <c r="L582"/>
      <c r="M582"/>
    </row>
    <row r="583" spans="9:13" x14ac:dyDescent="0.25">
      <c r="I583"/>
      <c r="J583"/>
      <c r="K583"/>
      <c r="L583"/>
      <c r="M583"/>
    </row>
    <row r="584" spans="9:13" x14ac:dyDescent="0.25">
      <c r="I584"/>
      <c r="J584"/>
      <c r="K584"/>
      <c r="L584"/>
      <c r="M584"/>
    </row>
    <row r="585" spans="9:13" x14ac:dyDescent="0.25">
      <c r="I585"/>
      <c r="J585"/>
      <c r="K585"/>
      <c r="L585"/>
      <c r="M585"/>
    </row>
    <row r="586" spans="9:13" x14ac:dyDescent="0.25">
      <c r="I586"/>
      <c r="J586"/>
      <c r="K586"/>
      <c r="L586"/>
      <c r="M586"/>
    </row>
    <row r="587" spans="9:13" x14ac:dyDescent="0.25">
      <c r="I587"/>
      <c r="J587"/>
      <c r="K587"/>
      <c r="L587"/>
      <c r="M587"/>
    </row>
    <row r="588" spans="9:13" x14ac:dyDescent="0.25">
      <c r="I588"/>
      <c r="J588"/>
      <c r="K588"/>
      <c r="L588"/>
      <c r="M588"/>
    </row>
    <row r="589" spans="9:13" x14ac:dyDescent="0.25">
      <c r="I589"/>
      <c r="J589"/>
      <c r="K589"/>
      <c r="L589"/>
      <c r="M589"/>
    </row>
    <row r="590" spans="9:13" x14ac:dyDescent="0.25">
      <c r="I590"/>
      <c r="J590"/>
      <c r="K590"/>
      <c r="L590"/>
      <c r="M590"/>
    </row>
    <row r="591" spans="9:13" x14ac:dyDescent="0.25">
      <c r="I591"/>
      <c r="J591"/>
      <c r="K591"/>
      <c r="L591"/>
      <c r="M591"/>
    </row>
    <row r="592" spans="9:13" x14ac:dyDescent="0.25">
      <c r="I592"/>
      <c r="J592"/>
      <c r="K592"/>
      <c r="L592"/>
      <c r="M592"/>
    </row>
    <row r="593" spans="9:13" x14ac:dyDescent="0.25">
      <c r="I593"/>
      <c r="J593"/>
      <c r="K593"/>
      <c r="L593"/>
      <c r="M593"/>
    </row>
    <row r="594" spans="9:13" x14ac:dyDescent="0.25">
      <c r="I594"/>
      <c r="J594"/>
      <c r="K594"/>
      <c r="L594"/>
      <c r="M594"/>
    </row>
    <row r="595" spans="9:13" x14ac:dyDescent="0.25">
      <c r="I595"/>
      <c r="J595"/>
      <c r="K595"/>
      <c r="L595"/>
      <c r="M595"/>
    </row>
    <row r="596" spans="9:13" x14ac:dyDescent="0.25">
      <c r="I596"/>
      <c r="J596"/>
      <c r="K596"/>
      <c r="L596"/>
      <c r="M596"/>
    </row>
    <row r="597" spans="9:13" x14ac:dyDescent="0.25">
      <c r="I597"/>
      <c r="J597"/>
      <c r="K597"/>
      <c r="L597"/>
      <c r="M597"/>
    </row>
    <row r="598" spans="9:13" x14ac:dyDescent="0.25">
      <c r="I598"/>
      <c r="J598"/>
      <c r="K598"/>
      <c r="L598"/>
      <c r="M598"/>
    </row>
    <row r="599" spans="9:13" x14ac:dyDescent="0.25">
      <c r="I599"/>
      <c r="J599"/>
      <c r="K599"/>
      <c r="L599"/>
      <c r="M599"/>
    </row>
    <row r="600" spans="9:13" x14ac:dyDescent="0.25">
      <c r="I600"/>
      <c r="J600"/>
      <c r="K600"/>
      <c r="L600"/>
      <c r="M600"/>
    </row>
    <row r="601" spans="9:13" x14ac:dyDescent="0.25">
      <c r="I601"/>
      <c r="J601"/>
      <c r="K601"/>
      <c r="L601"/>
      <c r="M601"/>
    </row>
    <row r="602" spans="9:13" x14ac:dyDescent="0.25">
      <c r="I602"/>
      <c r="J602"/>
      <c r="K602"/>
      <c r="L602"/>
      <c r="M602"/>
    </row>
    <row r="603" spans="9:13" x14ac:dyDescent="0.25">
      <c r="I603"/>
      <c r="J603"/>
      <c r="K603"/>
      <c r="L603"/>
      <c r="M603"/>
    </row>
    <row r="604" spans="9:13" x14ac:dyDescent="0.25">
      <c r="I604"/>
      <c r="J604"/>
      <c r="K604"/>
      <c r="L604"/>
      <c r="M604"/>
    </row>
    <row r="605" spans="9:13" x14ac:dyDescent="0.25">
      <c r="I605"/>
      <c r="J605"/>
      <c r="K605"/>
      <c r="L605"/>
      <c r="M605"/>
    </row>
    <row r="606" spans="9:13" x14ac:dyDescent="0.25">
      <c r="I606"/>
      <c r="J606"/>
      <c r="K606"/>
      <c r="L606"/>
      <c r="M606"/>
    </row>
    <row r="607" spans="9:13" x14ac:dyDescent="0.25">
      <c r="I607"/>
      <c r="J607"/>
      <c r="K607"/>
      <c r="L607"/>
      <c r="M607"/>
    </row>
    <row r="608" spans="9:13" x14ac:dyDescent="0.25">
      <c r="I608"/>
      <c r="J608"/>
      <c r="K608"/>
      <c r="L608"/>
      <c r="M608"/>
    </row>
    <row r="609" spans="9:13" x14ac:dyDescent="0.25">
      <c r="I609"/>
      <c r="J609"/>
      <c r="K609"/>
      <c r="L609"/>
      <c r="M609"/>
    </row>
    <row r="610" spans="9:13" x14ac:dyDescent="0.25">
      <c r="I610"/>
      <c r="J610"/>
      <c r="K610"/>
      <c r="L610"/>
      <c r="M610"/>
    </row>
    <row r="611" spans="9:13" x14ac:dyDescent="0.25">
      <c r="I611"/>
      <c r="J611"/>
      <c r="K611"/>
      <c r="L611"/>
      <c r="M611"/>
    </row>
    <row r="612" spans="9:13" x14ac:dyDescent="0.25">
      <c r="I612"/>
      <c r="J612"/>
      <c r="K612"/>
      <c r="L612"/>
      <c r="M612"/>
    </row>
    <row r="613" spans="9:13" x14ac:dyDescent="0.25">
      <c r="I613"/>
      <c r="J613"/>
      <c r="K613"/>
      <c r="L613"/>
      <c r="M613"/>
    </row>
    <row r="614" spans="9:13" x14ac:dyDescent="0.25">
      <c r="I614"/>
      <c r="J614"/>
      <c r="K614"/>
      <c r="L614"/>
      <c r="M614"/>
    </row>
    <row r="615" spans="9:13" x14ac:dyDescent="0.25">
      <c r="I615"/>
      <c r="J615"/>
      <c r="K615"/>
      <c r="L615"/>
      <c r="M615"/>
    </row>
    <row r="616" spans="9:13" x14ac:dyDescent="0.25">
      <c r="I616"/>
      <c r="J616"/>
      <c r="K616"/>
      <c r="L616"/>
      <c r="M616"/>
    </row>
    <row r="617" spans="9:13" x14ac:dyDescent="0.25">
      <c r="I617"/>
      <c r="J617"/>
      <c r="K617"/>
      <c r="L617"/>
      <c r="M617"/>
    </row>
    <row r="618" spans="9:13" x14ac:dyDescent="0.25">
      <c r="I618"/>
      <c r="J618"/>
      <c r="K618"/>
      <c r="L618"/>
      <c r="M618"/>
    </row>
    <row r="619" spans="9:13" x14ac:dyDescent="0.25">
      <c r="I619"/>
      <c r="J619"/>
      <c r="K619"/>
      <c r="L619"/>
      <c r="M619"/>
    </row>
    <row r="620" spans="9:13" x14ac:dyDescent="0.25">
      <c r="I620"/>
      <c r="J620"/>
      <c r="K620"/>
      <c r="L620"/>
      <c r="M620"/>
    </row>
    <row r="621" spans="9:13" x14ac:dyDescent="0.25">
      <c r="I621"/>
      <c r="J621"/>
      <c r="K621"/>
      <c r="L621"/>
      <c r="M621"/>
    </row>
    <row r="622" spans="9:13" x14ac:dyDescent="0.25">
      <c r="I622"/>
      <c r="J622"/>
      <c r="K622"/>
      <c r="L622"/>
      <c r="M622"/>
    </row>
    <row r="623" spans="9:13" x14ac:dyDescent="0.25">
      <c r="I623"/>
      <c r="J623"/>
      <c r="K623"/>
      <c r="L623"/>
      <c r="M623"/>
    </row>
    <row r="624" spans="9:13" x14ac:dyDescent="0.25">
      <c r="I624"/>
      <c r="J624"/>
      <c r="K624"/>
      <c r="L624"/>
      <c r="M624"/>
    </row>
    <row r="625" spans="9:13" x14ac:dyDescent="0.25">
      <c r="I625"/>
      <c r="J625"/>
      <c r="K625"/>
      <c r="L625"/>
      <c r="M625"/>
    </row>
    <row r="626" spans="9:13" x14ac:dyDescent="0.25">
      <c r="I626"/>
      <c r="J626"/>
      <c r="K626"/>
      <c r="L626"/>
      <c r="M626"/>
    </row>
    <row r="627" spans="9:13" x14ac:dyDescent="0.25">
      <c r="I627"/>
      <c r="J627"/>
      <c r="K627"/>
      <c r="L627"/>
      <c r="M627"/>
    </row>
    <row r="628" spans="9:13" x14ac:dyDescent="0.25">
      <c r="I628"/>
      <c r="J628"/>
      <c r="K628"/>
      <c r="L628"/>
      <c r="M628"/>
    </row>
    <row r="629" spans="9:13" x14ac:dyDescent="0.25">
      <c r="I629"/>
      <c r="J629"/>
      <c r="K629"/>
      <c r="L629"/>
      <c r="M629"/>
    </row>
    <row r="630" spans="9:13" x14ac:dyDescent="0.25">
      <c r="I630"/>
      <c r="J630"/>
      <c r="K630"/>
      <c r="L630"/>
      <c r="M630"/>
    </row>
    <row r="631" spans="9:13" x14ac:dyDescent="0.25">
      <c r="I631"/>
      <c r="J631"/>
      <c r="K631"/>
      <c r="L631"/>
      <c r="M631"/>
    </row>
    <row r="632" spans="9:13" x14ac:dyDescent="0.25">
      <c r="I632"/>
      <c r="J632"/>
      <c r="K632"/>
      <c r="L632"/>
      <c r="M632"/>
    </row>
    <row r="633" spans="9:13" x14ac:dyDescent="0.25">
      <c r="I633"/>
      <c r="J633"/>
      <c r="K633"/>
      <c r="L633"/>
      <c r="M633"/>
    </row>
    <row r="634" spans="9:13" x14ac:dyDescent="0.25">
      <c r="I634"/>
      <c r="J634"/>
      <c r="K634"/>
      <c r="L634"/>
      <c r="M634"/>
    </row>
    <row r="635" spans="9:13" x14ac:dyDescent="0.25">
      <c r="I635"/>
      <c r="J635"/>
      <c r="K635"/>
      <c r="L635"/>
      <c r="M635"/>
    </row>
    <row r="636" spans="9:13" x14ac:dyDescent="0.25">
      <c r="I636"/>
      <c r="J636"/>
      <c r="K636"/>
      <c r="L636"/>
      <c r="M636"/>
    </row>
    <row r="637" spans="9:13" x14ac:dyDescent="0.25">
      <c r="I637"/>
      <c r="J637"/>
      <c r="K637"/>
      <c r="L637"/>
      <c r="M637"/>
    </row>
    <row r="638" spans="9:13" x14ac:dyDescent="0.25">
      <c r="I638"/>
      <c r="J638"/>
      <c r="K638"/>
      <c r="L638"/>
      <c r="M638"/>
    </row>
    <row r="639" spans="9:13" x14ac:dyDescent="0.25">
      <c r="I639"/>
      <c r="J639"/>
      <c r="K639"/>
      <c r="L639"/>
      <c r="M639"/>
    </row>
    <row r="640" spans="9:13" x14ac:dyDescent="0.25">
      <c r="I640"/>
      <c r="J640"/>
      <c r="K640"/>
      <c r="L640"/>
      <c r="M640"/>
    </row>
    <row r="641" spans="9:13" x14ac:dyDescent="0.25">
      <c r="I641"/>
      <c r="J641"/>
      <c r="K641"/>
      <c r="L641"/>
      <c r="M641"/>
    </row>
    <row r="642" spans="9:13" x14ac:dyDescent="0.25">
      <c r="I642"/>
      <c r="J642"/>
      <c r="K642"/>
      <c r="L642"/>
      <c r="M642"/>
    </row>
    <row r="643" spans="9:13" x14ac:dyDescent="0.25">
      <c r="I643"/>
      <c r="J643"/>
      <c r="K643"/>
      <c r="L643"/>
      <c r="M643"/>
    </row>
    <row r="644" spans="9:13" x14ac:dyDescent="0.25">
      <c r="I644"/>
      <c r="J644"/>
      <c r="K644"/>
      <c r="L644"/>
      <c r="M644"/>
    </row>
    <row r="645" spans="9:13" x14ac:dyDescent="0.25">
      <c r="I645"/>
      <c r="J645"/>
      <c r="K645"/>
      <c r="L645"/>
      <c r="M645"/>
    </row>
    <row r="646" spans="9:13" x14ac:dyDescent="0.25">
      <c r="I646"/>
      <c r="J646"/>
      <c r="K646"/>
      <c r="L646"/>
      <c r="M646"/>
    </row>
    <row r="647" spans="9:13" x14ac:dyDescent="0.25">
      <c r="I647"/>
      <c r="J647"/>
      <c r="K647"/>
      <c r="L647"/>
      <c r="M647"/>
    </row>
    <row r="648" spans="9:13" x14ac:dyDescent="0.25">
      <c r="I648"/>
      <c r="J648"/>
      <c r="K648"/>
      <c r="L648"/>
      <c r="M648"/>
    </row>
    <row r="649" spans="9:13" x14ac:dyDescent="0.25">
      <c r="I649"/>
      <c r="J649"/>
      <c r="K649"/>
      <c r="L649"/>
      <c r="M649"/>
    </row>
    <row r="650" spans="9:13" x14ac:dyDescent="0.25">
      <c r="I650"/>
      <c r="J650"/>
      <c r="K650"/>
      <c r="L650"/>
      <c r="M650"/>
    </row>
    <row r="651" spans="9:13" x14ac:dyDescent="0.25">
      <c r="I651"/>
      <c r="J651"/>
      <c r="K651"/>
      <c r="L651"/>
      <c r="M651"/>
    </row>
    <row r="652" spans="9:13" x14ac:dyDescent="0.25">
      <c r="I652"/>
      <c r="J652"/>
      <c r="K652"/>
      <c r="L652"/>
      <c r="M652"/>
    </row>
    <row r="653" spans="9:13" x14ac:dyDescent="0.25">
      <c r="I653"/>
      <c r="J653"/>
      <c r="K653"/>
      <c r="L653"/>
      <c r="M653"/>
    </row>
    <row r="654" spans="9:13" x14ac:dyDescent="0.25">
      <c r="I654"/>
      <c r="J654"/>
      <c r="K654"/>
      <c r="L654"/>
      <c r="M654"/>
    </row>
    <row r="655" spans="9:13" x14ac:dyDescent="0.25">
      <c r="I655"/>
      <c r="J655"/>
      <c r="K655"/>
      <c r="L655"/>
      <c r="M655"/>
    </row>
    <row r="656" spans="9:13" x14ac:dyDescent="0.25">
      <c r="I656"/>
      <c r="J656"/>
      <c r="K656"/>
      <c r="L656"/>
      <c r="M656"/>
    </row>
    <row r="657" spans="9:13" x14ac:dyDescent="0.25">
      <c r="I657"/>
      <c r="J657"/>
      <c r="K657"/>
      <c r="L657"/>
      <c r="M657"/>
    </row>
    <row r="658" spans="9:13" x14ac:dyDescent="0.25">
      <c r="I658"/>
      <c r="J658"/>
      <c r="K658"/>
      <c r="L658"/>
      <c r="M658"/>
    </row>
    <row r="659" spans="9:13" x14ac:dyDescent="0.25">
      <c r="I659"/>
      <c r="J659"/>
      <c r="K659"/>
      <c r="L659"/>
      <c r="M659"/>
    </row>
    <row r="660" spans="9:13" x14ac:dyDescent="0.25">
      <c r="I660"/>
      <c r="J660"/>
      <c r="K660"/>
      <c r="L660"/>
      <c r="M660"/>
    </row>
    <row r="661" spans="9:13" x14ac:dyDescent="0.25">
      <c r="I661"/>
      <c r="J661"/>
      <c r="K661"/>
      <c r="L661"/>
      <c r="M661"/>
    </row>
    <row r="662" spans="9:13" x14ac:dyDescent="0.25">
      <c r="I662"/>
      <c r="J662"/>
      <c r="K662"/>
      <c r="L662"/>
      <c r="M662"/>
    </row>
    <row r="663" spans="9:13" x14ac:dyDescent="0.25">
      <c r="I663"/>
      <c r="J663"/>
      <c r="K663"/>
      <c r="L663"/>
      <c r="M663"/>
    </row>
    <row r="664" spans="9:13" x14ac:dyDescent="0.25">
      <c r="I664"/>
      <c r="J664"/>
      <c r="K664"/>
      <c r="L664"/>
      <c r="M664"/>
    </row>
    <row r="665" spans="9:13" x14ac:dyDescent="0.25">
      <c r="I665"/>
      <c r="J665"/>
      <c r="K665"/>
      <c r="L665"/>
      <c r="M665"/>
    </row>
    <row r="666" spans="9:13" x14ac:dyDescent="0.25">
      <c r="I666"/>
      <c r="J666"/>
      <c r="K666"/>
      <c r="L666"/>
      <c r="M666"/>
    </row>
    <row r="667" spans="9:13" x14ac:dyDescent="0.25">
      <c r="I667"/>
      <c r="J667"/>
      <c r="K667"/>
      <c r="L667"/>
      <c r="M667"/>
    </row>
    <row r="668" spans="9:13" x14ac:dyDescent="0.25">
      <c r="I668"/>
      <c r="J668"/>
      <c r="K668"/>
      <c r="L668"/>
      <c r="M668"/>
    </row>
    <row r="669" spans="9:13" x14ac:dyDescent="0.25">
      <c r="I669"/>
      <c r="J669"/>
      <c r="K669"/>
      <c r="L669"/>
      <c r="M669"/>
    </row>
    <row r="670" spans="9:13" x14ac:dyDescent="0.25">
      <c r="I670"/>
      <c r="J670"/>
      <c r="K670"/>
      <c r="L670"/>
      <c r="M670"/>
    </row>
    <row r="671" spans="9:13" x14ac:dyDescent="0.25">
      <c r="I671"/>
      <c r="J671"/>
      <c r="K671"/>
      <c r="L671"/>
      <c r="M671"/>
    </row>
    <row r="672" spans="9:13" x14ac:dyDescent="0.25">
      <c r="I672"/>
      <c r="J672"/>
      <c r="K672"/>
      <c r="L672"/>
      <c r="M672"/>
    </row>
    <row r="673" spans="9:13" x14ac:dyDescent="0.25">
      <c r="I673"/>
      <c r="J673"/>
      <c r="K673"/>
      <c r="L673"/>
      <c r="M673"/>
    </row>
    <row r="674" spans="9:13" x14ac:dyDescent="0.25">
      <c r="I674"/>
      <c r="J674"/>
      <c r="K674"/>
      <c r="L674"/>
      <c r="M674"/>
    </row>
    <row r="675" spans="9:13" x14ac:dyDescent="0.25">
      <c r="I675"/>
      <c r="J675"/>
      <c r="K675"/>
      <c r="L675"/>
      <c r="M675"/>
    </row>
    <row r="676" spans="9:13" x14ac:dyDescent="0.25">
      <c r="I676"/>
      <c r="J676"/>
      <c r="K676"/>
      <c r="L676"/>
      <c r="M676"/>
    </row>
    <row r="677" spans="9:13" x14ac:dyDescent="0.25">
      <c r="I677"/>
      <c r="J677"/>
      <c r="K677"/>
      <c r="L677"/>
      <c r="M677"/>
    </row>
    <row r="678" spans="9:13" x14ac:dyDescent="0.25">
      <c r="I678"/>
      <c r="J678"/>
      <c r="K678"/>
      <c r="L678"/>
      <c r="M678"/>
    </row>
    <row r="679" spans="9:13" x14ac:dyDescent="0.25">
      <c r="I679"/>
      <c r="J679"/>
      <c r="K679"/>
      <c r="L679"/>
      <c r="M679"/>
    </row>
    <row r="680" spans="9:13" x14ac:dyDescent="0.25">
      <c r="I680"/>
      <c r="J680"/>
      <c r="K680"/>
      <c r="L680"/>
      <c r="M680"/>
    </row>
    <row r="681" spans="9:13" x14ac:dyDescent="0.25">
      <c r="I681"/>
      <c r="J681"/>
      <c r="K681"/>
      <c r="L681"/>
      <c r="M681"/>
    </row>
    <row r="682" spans="9:13" x14ac:dyDescent="0.25">
      <c r="I682"/>
      <c r="J682"/>
      <c r="K682"/>
      <c r="L682"/>
      <c r="M682"/>
    </row>
    <row r="683" spans="9:13" x14ac:dyDescent="0.25">
      <c r="I683"/>
      <c r="J683"/>
      <c r="K683"/>
      <c r="L683"/>
      <c r="M683"/>
    </row>
    <row r="684" spans="9:13" x14ac:dyDescent="0.25">
      <c r="I684"/>
      <c r="J684"/>
      <c r="K684"/>
      <c r="L684"/>
      <c r="M684"/>
    </row>
    <row r="685" spans="9:13" x14ac:dyDescent="0.25">
      <c r="I685"/>
      <c r="J685"/>
      <c r="K685"/>
      <c r="L685"/>
      <c r="M685"/>
    </row>
    <row r="686" spans="9:13" x14ac:dyDescent="0.25">
      <c r="I686"/>
      <c r="J686"/>
      <c r="K686"/>
      <c r="L686"/>
      <c r="M686"/>
    </row>
    <row r="687" spans="9:13" x14ac:dyDescent="0.25">
      <c r="I687"/>
      <c r="J687"/>
      <c r="K687"/>
      <c r="L687"/>
      <c r="M687"/>
    </row>
    <row r="688" spans="9:13" x14ac:dyDescent="0.25">
      <c r="I688"/>
      <c r="J688"/>
      <c r="K688"/>
      <c r="L688"/>
      <c r="M688"/>
    </row>
    <row r="689" spans="9:13" x14ac:dyDescent="0.25">
      <c r="I689"/>
      <c r="J689"/>
      <c r="K689"/>
      <c r="L689"/>
      <c r="M689"/>
    </row>
    <row r="690" spans="9:13" x14ac:dyDescent="0.25">
      <c r="I690"/>
      <c r="J690"/>
      <c r="K690"/>
      <c r="L690"/>
      <c r="M690"/>
    </row>
    <row r="691" spans="9:13" x14ac:dyDescent="0.25">
      <c r="I691"/>
      <c r="J691"/>
      <c r="K691"/>
      <c r="L691"/>
      <c r="M691"/>
    </row>
    <row r="692" spans="9:13" x14ac:dyDescent="0.25">
      <c r="I692"/>
      <c r="J692"/>
      <c r="K692"/>
      <c r="L692"/>
      <c r="M692"/>
    </row>
    <row r="693" spans="9:13" x14ac:dyDescent="0.25">
      <c r="I693"/>
      <c r="J693"/>
      <c r="K693"/>
      <c r="L693"/>
      <c r="M693"/>
    </row>
    <row r="694" spans="9:13" x14ac:dyDescent="0.25">
      <c r="I694"/>
      <c r="J694"/>
      <c r="K694"/>
      <c r="L694"/>
      <c r="M694"/>
    </row>
    <row r="695" spans="9:13" x14ac:dyDescent="0.25">
      <c r="I695"/>
      <c r="J695"/>
      <c r="K695"/>
      <c r="L695"/>
      <c r="M695"/>
    </row>
    <row r="696" spans="9:13" x14ac:dyDescent="0.25">
      <c r="I696"/>
      <c r="J696"/>
      <c r="K696"/>
      <c r="L696"/>
      <c r="M696"/>
    </row>
    <row r="697" spans="9:13" x14ac:dyDescent="0.25">
      <c r="I697"/>
      <c r="J697"/>
      <c r="K697"/>
      <c r="L697"/>
      <c r="M697"/>
    </row>
    <row r="698" spans="9:13" x14ac:dyDescent="0.25">
      <c r="I698"/>
      <c r="J698"/>
      <c r="K698"/>
      <c r="L698"/>
      <c r="M698"/>
    </row>
    <row r="699" spans="9:13" x14ac:dyDescent="0.25">
      <c r="I699"/>
      <c r="J699"/>
      <c r="K699"/>
      <c r="L699"/>
      <c r="M699"/>
    </row>
    <row r="700" spans="9:13" x14ac:dyDescent="0.25">
      <c r="I700"/>
      <c r="J700"/>
      <c r="K700"/>
      <c r="L700"/>
      <c r="M700"/>
    </row>
    <row r="701" spans="9:13" x14ac:dyDescent="0.25">
      <c r="I701"/>
      <c r="J701"/>
      <c r="K701"/>
      <c r="L701"/>
      <c r="M701"/>
    </row>
    <row r="702" spans="9:13" x14ac:dyDescent="0.25">
      <c r="I702"/>
      <c r="J702"/>
      <c r="K702"/>
      <c r="L702"/>
      <c r="M702"/>
    </row>
    <row r="703" spans="9:13" x14ac:dyDescent="0.25">
      <c r="I703"/>
      <c r="J703"/>
      <c r="K703"/>
      <c r="L703"/>
      <c r="M703"/>
    </row>
    <row r="704" spans="9:13" x14ac:dyDescent="0.25">
      <c r="I704"/>
      <c r="J704"/>
      <c r="K704"/>
      <c r="L704"/>
      <c r="M704"/>
    </row>
    <row r="705" spans="9:13" x14ac:dyDescent="0.25">
      <c r="I705"/>
      <c r="J705"/>
      <c r="K705"/>
      <c r="L705"/>
      <c r="M705"/>
    </row>
    <row r="706" spans="9:13" x14ac:dyDescent="0.25">
      <c r="I706"/>
      <c r="J706"/>
      <c r="K706"/>
      <c r="L706"/>
      <c r="M706"/>
    </row>
    <row r="707" spans="9:13" x14ac:dyDescent="0.25">
      <c r="I707"/>
      <c r="J707"/>
      <c r="K707"/>
      <c r="L707"/>
      <c r="M707"/>
    </row>
    <row r="708" spans="9:13" x14ac:dyDescent="0.25">
      <c r="I708"/>
      <c r="J708"/>
      <c r="K708"/>
      <c r="L708"/>
      <c r="M708"/>
    </row>
    <row r="709" spans="9:13" x14ac:dyDescent="0.25">
      <c r="I709"/>
      <c r="J709"/>
      <c r="K709"/>
      <c r="L709"/>
      <c r="M709"/>
    </row>
    <row r="710" spans="9:13" x14ac:dyDescent="0.25">
      <c r="I710"/>
      <c r="J710"/>
      <c r="K710"/>
      <c r="L710"/>
      <c r="M710"/>
    </row>
    <row r="711" spans="9:13" x14ac:dyDescent="0.25">
      <c r="I711"/>
      <c r="J711"/>
      <c r="K711"/>
      <c r="L711"/>
      <c r="M711"/>
    </row>
    <row r="712" spans="9:13" x14ac:dyDescent="0.25">
      <c r="I712"/>
      <c r="J712"/>
      <c r="K712"/>
      <c r="L712"/>
      <c r="M712"/>
    </row>
    <row r="713" spans="9:13" x14ac:dyDescent="0.25">
      <c r="I713"/>
      <c r="J713"/>
      <c r="K713"/>
      <c r="L713"/>
      <c r="M713"/>
    </row>
    <row r="714" spans="9:13" x14ac:dyDescent="0.25">
      <c r="I714"/>
      <c r="J714"/>
      <c r="K714"/>
      <c r="L714"/>
      <c r="M714"/>
    </row>
    <row r="715" spans="9:13" x14ac:dyDescent="0.25">
      <c r="I715"/>
      <c r="J715"/>
      <c r="K715"/>
      <c r="L715"/>
      <c r="M715"/>
    </row>
    <row r="716" spans="9:13" x14ac:dyDescent="0.25">
      <c r="I716"/>
      <c r="J716"/>
      <c r="K716"/>
      <c r="L716"/>
      <c r="M716"/>
    </row>
    <row r="717" spans="9:13" x14ac:dyDescent="0.25">
      <c r="I717"/>
      <c r="J717"/>
      <c r="K717"/>
      <c r="L717"/>
      <c r="M717"/>
    </row>
    <row r="718" spans="9:13" x14ac:dyDescent="0.25">
      <c r="I718"/>
      <c r="J718"/>
      <c r="K718"/>
      <c r="L718"/>
      <c r="M718"/>
    </row>
    <row r="719" spans="9:13" x14ac:dyDescent="0.25">
      <c r="I719"/>
      <c r="J719"/>
      <c r="K719"/>
      <c r="L719"/>
      <c r="M719"/>
    </row>
    <row r="720" spans="9:13" x14ac:dyDescent="0.25">
      <c r="I720"/>
      <c r="J720"/>
      <c r="K720"/>
      <c r="L720"/>
      <c r="M720"/>
    </row>
    <row r="721" spans="9:13" x14ac:dyDescent="0.25">
      <c r="I721"/>
      <c r="J721"/>
      <c r="K721"/>
      <c r="L721"/>
      <c r="M721"/>
    </row>
    <row r="722" spans="9:13" x14ac:dyDescent="0.25">
      <c r="I722"/>
      <c r="J722"/>
      <c r="K722"/>
      <c r="L722"/>
      <c r="M722"/>
    </row>
    <row r="723" spans="9:13" x14ac:dyDescent="0.25">
      <c r="I723"/>
      <c r="J723"/>
      <c r="K723"/>
      <c r="L723"/>
      <c r="M723"/>
    </row>
    <row r="724" spans="9:13" x14ac:dyDescent="0.25">
      <c r="I724"/>
      <c r="J724"/>
      <c r="K724"/>
      <c r="L724"/>
      <c r="M724"/>
    </row>
    <row r="725" spans="9:13" x14ac:dyDescent="0.25">
      <c r="I725"/>
      <c r="J725"/>
      <c r="K725"/>
      <c r="L725"/>
      <c r="M725"/>
    </row>
    <row r="726" spans="9:13" x14ac:dyDescent="0.25">
      <c r="I726"/>
      <c r="J726"/>
      <c r="K726"/>
      <c r="L726"/>
      <c r="M726"/>
    </row>
    <row r="727" spans="9:13" x14ac:dyDescent="0.25">
      <c r="I727"/>
      <c r="J727"/>
      <c r="K727"/>
      <c r="L727"/>
      <c r="M727"/>
    </row>
    <row r="728" spans="9:13" x14ac:dyDescent="0.25">
      <c r="I728"/>
      <c r="J728"/>
      <c r="K728"/>
      <c r="L728"/>
      <c r="M728"/>
    </row>
    <row r="729" spans="9:13" x14ac:dyDescent="0.25">
      <c r="I729"/>
      <c r="J729"/>
      <c r="K729"/>
      <c r="L729"/>
      <c r="M729"/>
    </row>
    <row r="730" spans="9:13" x14ac:dyDescent="0.25">
      <c r="I730"/>
      <c r="J730"/>
      <c r="K730"/>
      <c r="L730"/>
      <c r="M730"/>
    </row>
    <row r="731" spans="9:13" x14ac:dyDescent="0.25">
      <c r="I731"/>
      <c r="J731"/>
      <c r="K731"/>
      <c r="L731"/>
      <c r="M731"/>
    </row>
    <row r="732" spans="9:13" x14ac:dyDescent="0.25">
      <c r="I732"/>
      <c r="J732"/>
      <c r="K732"/>
      <c r="L732"/>
      <c r="M732"/>
    </row>
    <row r="733" spans="9:13" x14ac:dyDescent="0.25">
      <c r="I733"/>
      <c r="J733"/>
      <c r="K733"/>
      <c r="L733"/>
      <c r="M733"/>
    </row>
    <row r="734" spans="9:13" x14ac:dyDescent="0.25">
      <c r="I734"/>
      <c r="J734"/>
      <c r="K734"/>
      <c r="L734"/>
      <c r="M734"/>
    </row>
    <row r="735" spans="9:13" x14ac:dyDescent="0.25">
      <c r="I735"/>
      <c r="J735"/>
      <c r="K735"/>
      <c r="L735"/>
      <c r="M735"/>
    </row>
    <row r="736" spans="9:13" x14ac:dyDescent="0.25">
      <c r="I736"/>
      <c r="J736"/>
      <c r="K736"/>
      <c r="L736"/>
      <c r="M736"/>
    </row>
    <row r="737" spans="9:13" x14ac:dyDescent="0.25">
      <c r="I737"/>
      <c r="J737"/>
      <c r="K737"/>
      <c r="L737"/>
      <c r="M737"/>
    </row>
    <row r="738" spans="9:13" x14ac:dyDescent="0.25">
      <c r="I738"/>
      <c r="J738"/>
      <c r="K738"/>
      <c r="L738"/>
      <c r="M738"/>
    </row>
    <row r="739" spans="9:13" x14ac:dyDescent="0.25">
      <c r="I739"/>
      <c r="J739"/>
      <c r="K739"/>
      <c r="L739"/>
      <c r="M739"/>
    </row>
    <row r="740" spans="9:13" x14ac:dyDescent="0.25">
      <c r="I740"/>
      <c r="J740"/>
      <c r="K740"/>
      <c r="L740"/>
      <c r="M740"/>
    </row>
    <row r="741" spans="9:13" x14ac:dyDescent="0.25">
      <c r="I741"/>
      <c r="J741"/>
      <c r="K741"/>
      <c r="L741"/>
      <c r="M741"/>
    </row>
    <row r="742" spans="9:13" x14ac:dyDescent="0.25">
      <c r="I742"/>
      <c r="J742"/>
      <c r="K742"/>
      <c r="L742"/>
      <c r="M742"/>
    </row>
    <row r="743" spans="9:13" x14ac:dyDescent="0.25">
      <c r="I743"/>
      <c r="J743"/>
      <c r="K743"/>
      <c r="L743"/>
      <c r="M743"/>
    </row>
    <row r="744" spans="9:13" x14ac:dyDescent="0.25">
      <c r="I744"/>
      <c r="J744"/>
      <c r="K744"/>
      <c r="L744"/>
      <c r="M744"/>
    </row>
    <row r="745" spans="9:13" x14ac:dyDescent="0.25">
      <c r="I745"/>
      <c r="J745"/>
      <c r="K745"/>
      <c r="L745"/>
      <c r="M745"/>
    </row>
    <row r="746" spans="9:13" x14ac:dyDescent="0.25">
      <c r="I746"/>
      <c r="J746"/>
      <c r="K746"/>
      <c r="L746"/>
      <c r="M746"/>
    </row>
    <row r="747" spans="9:13" x14ac:dyDescent="0.25">
      <c r="I747"/>
      <c r="J747"/>
      <c r="K747"/>
      <c r="L747"/>
      <c r="M747"/>
    </row>
    <row r="748" spans="9:13" x14ac:dyDescent="0.25">
      <c r="I748"/>
      <c r="J748"/>
      <c r="K748"/>
      <c r="L748"/>
      <c r="M748"/>
    </row>
    <row r="749" spans="9:13" x14ac:dyDescent="0.25">
      <c r="I749"/>
      <c r="J749"/>
      <c r="K749"/>
      <c r="L749"/>
      <c r="M749"/>
    </row>
    <row r="750" spans="9:13" x14ac:dyDescent="0.25">
      <c r="I750"/>
      <c r="J750"/>
      <c r="K750"/>
      <c r="L750"/>
      <c r="M750"/>
    </row>
    <row r="751" spans="9:13" x14ac:dyDescent="0.25">
      <c r="I751"/>
      <c r="J751"/>
      <c r="K751"/>
      <c r="L751"/>
      <c r="M751"/>
    </row>
    <row r="752" spans="9:13" x14ac:dyDescent="0.25">
      <c r="I752"/>
      <c r="J752"/>
      <c r="K752"/>
      <c r="L752"/>
      <c r="M752"/>
    </row>
    <row r="753" spans="9:13" x14ac:dyDescent="0.25">
      <c r="I753"/>
      <c r="J753"/>
      <c r="K753"/>
      <c r="L753"/>
      <c r="M753"/>
    </row>
    <row r="754" spans="9:13" x14ac:dyDescent="0.25">
      <c r="I754"/>
      <c r="J754"/>
      <c r="K754"/>
      <c r="L754"/>
      <c r="M754"/>
    </row>
    <row r="755" spans="9:13" x14ac:dyDescent="0.25">
      <c r="I755"/>
      <c r="J755"/>
      <c r="K755"/>
      <c r="L755"/>
      <c r="M755"/>
    </row>
    <row r="756" spans="9:13" x14ac:dyDescent="0.25">
      <c r="I756"/>
      <c r="J756"/>
      <c r="K756"/>
      <c r="L756"/>
      <c r="M756"/>
    </row>
    <row r="757" spans="9:13" x14ac:dyDescent="0.25">
      <c r="I757"/>
      <c r="J757"/>
      <c r="K757"/>
      <c r="L757"/>
      <c r="M757"/>
    </row>
    <row r="758" spans="9:13" x14ac:dyDescent="0.25">
      <c r="I758"/>
      <c r="J758"/>
      <c r="K758"/>
      <c r="L758"/>
      <c r="M758"/>
    </row>
    <row r="759" spans="9:13" x14ac:dyDescent="0.25">
      <c r="I759"/>
      <c r="J759"/>
      <c r="K759"/>
      <c r="L759"/>
      <c r="M759"/>
    </row>
    <row r="760" spans="9:13" x14ac:dyDescent="0.25">
      <c r="I760"/>
      <c r="J760"/>
      <c r="K760"/>
      <c r="L760"/>
      <c r="M760"/>
    </row>
    <row r="761" spans="9:13" x14ac:dyDescent="0.25">
      <c r="I761"/>
      <c r="J761"/>
      <c r="K761"/>
      <c r="L761"/>
      <c r="M761"/>
    </row>
    <row r="762" spans="9:13" x14ac:dyDescent="0.25">
      <c r="I762"/>
      <c r="J762"/>
      <c r="K762"/>
      <c r="L762"/>
      <c r="M762"/>
    </row>
    <row r="763" spans="9:13" x14ac:dyDescent="0.25">
      <c r="I763"/>
      <c r="J763"/>
      <c r="K763"/>
      <c r="L763"/>
      <c r="M763"/>
    </row>
    <row r="764" spans="9:13" x14ac:dyDescent="0.25">
      <c r="I764"/>
      <c r="J764"/>
      <c r="K764"/>
      <c r="L764"/>
      <c r="M764"/>
    </row>
    <row r="765" spans="9:13" x14ac:dyDescent="0.25">
      <c r="I765"/>
      <c r="J765"/>
      <c r="K765"/>
      <c r="L765"/>
      <c r="M765"/>
    </row>
    <row r="766" spans="9:13" x14ac:dyDescent="0.25">
      <c r="I766"/>
      <c r="J766"/>
      <c r="K766"/>
      <c r="L766"/>
      <c r="M766"/>
    </row>
    <row r="767" spans="9:13" x14ac:dyDescent="0.25">
      <c r="I767"/>
      <c r="J767"/>
      <c r="K767"/>
      <c r="L767"/>
      <c r="M767"/>
    </row>
    <row r="768" spans="9:13" x14ac:dyDescent="0.25">
      <c r="I768"/>
      <c r="J768"/>
      <c r="K768"/>
      <c r="L768"/>
      <c r="M768"/>
    </row>
    <row r="769" spans="9:13" x14ac:dyDescent="0.25">
      <c r="I769"/>
      <c r="J769"/>
      <c r="K769"/>
      <c r="L769"/>
      <c r="M769"/>
    </row>
    <row r="770" spans="9:13" x14ac:dyDescent="0.25">
      <c r="I770"/>
      <c r="J770"/>
      <c r="K770"/>
      <c r="L770"/>
      <c r="M770"/>
    </row>
    <row r="771" spans="9:13" x14ac:dyDescent="0.25">
      <c r="I771"/>
      <c r="J771"/>
      <c r="K771"/>
      <c r="L771"/>
      <c r="M771"/>
    </row>
    <row r="772" spans="9:13" x14ac:dyDescent="0.25">
      <c r="I772"/>
      <c r="J772"/>
      <c r="K772"/>
      <c r="L772"/>
      <c r="M772"/>
    </row>
    <row r="773" spans="9:13" x14ac:dyDescent="0.25">
      <c r="I773"/>
      <c r="J773"/>
      <c r="K773"/>
      <c r="L773"/>
      <c r="M773"/>
    </row>
    <row r="774" spans="9:13" x14ac:dyDescent="0.25">
      <c r="I774"/>
      <c r="J774"/>
      <c r="K774"/>
      <c r="L774"/>
      <c r="M774"/>
    </row>
    <row r="775" spans="9:13" x14ac:dyDescent="0.25">
      <c r="I775"/>
      <c r="J775"/>
      <c r="K775"/>
      <c r="L775"/>
      <c r="M775"/>
    </row>
    <row r="776" spans="9:13" x14ac:dyDescent="0.25">
      <c r="I776"/>
      <c r="J776"/>
      <c r="K776"/>
      <c r="L776"/>
      <c r="M776"/>
    </row>
    <row r="777" spans="9:13" x14ac:dyDescent="0.25">
      <c r="I777"/>
      <c r="J777"/>
      <c r="K777"/>
      <c r="L777"/>
      <c r="M777"/>
    </row>
    <row r="778" spans="9:13" x14ac:dyDescent="0.25">
      <c r="I778"/>
      <c r="J778"/>
      <c r="K778"/>
      <c r="L778"/>
      <c r="M778"/>
    </row>
    <row r="779" spans="9:13" x14ac:dyDescent="0.25">
      <c r="I779"/>
      <c r="J779"/>
      <c r="K779"/>
      <c r="L779"/>
      <c r="M779"/>
    </row>
    <row r="780" spans="9:13" x14ac:dyDescent="0.25">
      <c r="I780"/>
      <c r="J780"/>
      <c r="K780"/>
      <c r="L780"/>
      <c r="M780"/>
    </row>
    <row r="781" spans="9:13" x14ac:dyDescent="0.25">
      <c r="I781"/>
      <c r="J781"/>
      <c r="K781"/>
      <c r="L781"/>
      <c r="M781"/>
    </row>
    <row r="782" spans="9:13" x14ac:dyDescent="0.25">
      <c r="I782"/>
      <c r="J782"/>
      <c r="K782"/>
      <c r="L782"/>
      <c r="M782"/>
    </row>
    <row r="783" spans="9:13" x14ac:dyDescent="0.25">
      <c r="I783"/>
      <c r="J783"/>
      <c r="K783"/>
      <c r="L783"/>
      <c r="M783"/>
    </row>
    <row r="784" spans="9:13" x14ac:dyDescent="0.25">
      <c r="I784"/>
      <c r="J784"/>
      <c r="K784"/>
      <c r="L784"/>
      <c r="M784"/>
    </row>
    <row r="785" spans="9:13" x14ac:dyDescent="0.25">
      <c r="I785"/>
      <c r="J785"/>
      <c r="K785"/>
      <c r="L785"/>
      <c r="M785"/>
    </row>
    <row r="786" spans="9:13" x14ac:dyDescent="0.25">
      <c r="I786"/>
      <c r="J786"/>
      <c r="K786"/>
      <c r="L786"/>
      <c r="M786"/>
    </row>
    <row r="787" spans="9:13" x14ac:dyDescent="0.25">
      <c r="I787"/>
      <c r="J787"/>
      <c r="K787"/>
      <c r="L787"/>
      <c r="M787"/>
    </row>
    <row r="788" spans="9:13" x14ac:dyDescent="0.25">
      <c r="I788"/>
      <c r="J788"/>
      <c r="K788"/>
      <c r="L788"/>
      <c r="M788"/>
    </row>
    <row r="789" spans="9:13" x14ac:dyDescent="0.25">
      <c r="I789"/>
      <c r="J789"/>
      <c r="K789"/>
      <c r="L789"/>
      <c r="M789"/>
    </row>
    <row r="790" spans="9:13" x14ac:dyDescent="0.25">
      <c r="I790"/>
      <c r="J790"/>
      <c r="K790"/>
      <c r="L790"/>
      <c r="M790"/>
    </row>
    <row r="791" spans="9:13" x14ac:dyDescent="0.25">
      <c r="I791"/>
      <c r="J791"/>
      <c r="K791"/>
      <c r="L791"/>
      <c r="M791"/>
    </row>
    <row r="792" spans="9:13" x14ac:dyDescent="0.25">
      <c r="I792"/>
      <c r="J792"/>
      <c r="K792"/>
      <c r="L792"/>
      <c r="M792"/>
    </row>
    <row r="793" spans="9:13" x14ac:dyDescent="0.25">
      <c r="I793"/>
      <c r="J793"/>
      <c r="K793"/>
      <c r="L793"/>
      <c r="M793"/>
    </row>
    <row r="794" spans="9:13" x14ac:dyDescent="0.25">
      <c r="I794"/>
      <c r="J794"/>
      <c r="K794"/>
      <c r="L794"/>
      <c r="M794"/>
    </row>
    <row r="795" spans="9:13" x14ac:dyDescent="0.25">
      <c r="I795"/>
      <c r="J795"/>
      <c r="K795"/>
      <c r="L795"/>
      <c r="M795"/>
    </row>
    <row r="796" spans="9:13" x14ac:dyDescent="0.25">
      <c r="I796"/>
      <c r="J796"/>
      <c r="K796"/>
      <c r="L796"/>
      <c r="M796"/>
    </row>
    <row r="797" spans="9:13" x14ac:dyDescent="0.25">
      <c r="I797"/>
      <c r="J797"/>
      <c r="K797"/>
      <c r="L797"/>
      <c r="M797"/>
    </row>
    <row r="798" spans="9:13" x14ac:dyDescent="0.25">
      <c r="I798"/>
      <c r="J798"/>
      <c r="K798"/>
      <c r="L798"/>
      <c r="M798"/>
    </row>
    <row r="799" spans="9:13" x14ac:dyDescent="0.25">
      <c r="I799"/>
      <c r="J799"/>
      <c r="K799"/>
      <c r="L799"/>
      <c r="M799"/>
    </row>
    <row r="800" spans="9:13" x14ac:dyDescent="0.25">
      <c r="I800"/>
      <c r="J800"/>
      <c r="K800"/>
      <c r="L800"/>
      <c r="M800"/>
    </row>
    <row r="801" spans="9:13" x14ac:dyDescent="0.25">
      <c r="I801"/>
      <c r="J801"/>
      <c r="K801"/>
      <c r="L801"/>
      <c r="M801"/>
    </row>
    <row r="802" spans="9:13" x14ac:dyDescent="0.25">
      <c r="I802"/>
      <c r="J802"/>
      <c r="K802"/>
      <c r="L802"/>
      <c r="M802"/>
    </row>
    <row r="803" spans="9:13" x14ac:dyDescent="0.25">
      <c r="I803"/>
      <c r="J803"/>
      <c r="K803"/>
      <c r="L803"/>
      <c r="M803"/>
    </row>
    <row r="804" spans="9:13" x14ac:dyDescent="0.25">
      <c r="I804"/>
      <c r="J804"/>
      <c r="K804"/>
      <c r="L804"/>
      <c r="M804"/>
    </row>
    <row r="805" spans="9:13" x14ac:dyDescent="0.25">
      <c r="I805"/>
      <c r="J805"/>
      <c r="K805"/>
      <c r="L805"/>
      <c r="M805"/>
    </row>
    <row r="806" spans="9:13" x14ac:dyDescent="0.25">
      <c r="I806"/>
      <c r="J806"/>
      <c r="K806"/>
      <c r="L806"/>
      <c r="M806"/>
    </row>
    <row r="807" spans="9:13" x14ac:dyDescent="0.25">
      <c r="I807"/>
      <c r="J807"/>
      <c r="K807"/>
      <c r="L807"/>
      <c r="M807"/>
    </row>
    <row r="808" spans="9:13" x14ac:dyDescent="0.25">
      <c r="I808"/>
      <c r="J808"/>
      <c r="K808"/>
      <c r="L808"/>
      <c r="M808"/>
    </row>
    <row r="809" spans="9:13" x14ac:dyDescent="0.25">
      <c r="I809"/>
      <c r="J809"/>
      <c r="K809"/>
      <c r="L809"/>
      <c r="M809"/>
    </row>
    <row r="810" spans="9:13" x14ac:dyDescent="0.25">
      <c r="I810"/>
      <c r="J810"/>
      <c r="K810"/>
      <c r="L810"/>
      <c r="M810"/>
    </row>
    <row r="811" spans="9:13" x14ac:dyDescent="0.25">
      <c r="I811"/>
      <c r="J811"/>
      <c r="K811"/>
      <c r="L811"/>
      <c r="M811"/>
    </row>
    <row r="812" spans="9:13" x14ac:dyDescent="0.25">
      <c r="I812"/>
      <c r="J812"/>
      <c r="K812"/>
      <c r="L812"/>
      <c r="M812"/>
    </row>
    <row r="813" spans="9:13" x14ac:dyDescent="0.25">
      <c r="I813"/>
      <c r="J813"/>
      <c r="K813"/>
      <c r="L813"/>
      <c r="M813"/>
    </row>
    <row r="814" spans="9:13" x14ac:dyDescent="0.25">
      <c r="I814"/>
      <c r="J814"/>
      <c r="K814"/>
      <c r="L814"/>
      <c r="M814"/>
    </row>
    <row r="815" spans="9:13" x14ac:dyDescent="0.25">
      <c r="I815"/>
      <c r="J815"/>
      <c r="K815"/>
      <c r="L815"/>
      <c r="M815"/>
    </row>
    <row r="816" spans="9:13" x14ac:dyDescent="0.25">
      <c r="I816"/>
      <c r="J816"/>
      <c r="K816"/>
      <c r="L816"/>
      <c r="M816"/>
    </row>
    <row r="817" spans="9:13" x14ac:dyDescent="0.25">
      <c r="I817"/>
      <c r="J817"/>
      <c r="K817"/>
      <c r="L817"/>
      <c r="M817"/>
    </row>
    <row r="818" spans="9:13" x14ac:dyDescent="0.25">
      <c r="I818"/>
      <c r="J818"/>
      <c r="K818"/>
      <c r="L818"/>
      <c r="M818"/>
    </row>
    <row r="819" spans="9:13" x14ac:dyDescent="0.25">
      <c r="I819"/>
      <c r="J819"/>
      <c r="K819"/>
      <c r="L819"/>
      <c r="M819"/>
    </row>
    <row r="820" spans="9:13" x14ac:dyDescent="0.25">
      <c r="I820"/>
      <c r="J820"/>
      <c r="K820"/>
      <c r="L820"/>
      <c r="M820"/>
    </row>
    <row r="821" spans="9:13" x14ac:dyDescent="0.25">
      <c r="I821"/>
      <c r="J821"/>
      <c r="K821"/>
      <c r="L821"/>
      <c r="M821"/>
    </row>
    <row r="822" spans="9:13" x14ac:dyDescent="0.25">
      <c r="I822"/>
      <c r="J822"/>
      <c r="K822"/>
      <c r="L822"/>
      <c r="M822"/>
    </row>
    <row r="823" spans="9:13" x14ac:dyDescent="0.25">
      <c r="I823"/>
      <c r="J823"/>
      <c r="K823"/>
      <c r="L823"/>
      <c r="M823"/>
    </row>
    <row r="824" spans="9:13" x14ac:dyDescent="0.25">
      <c r="I824"/>
      <c r="J824"/>
      <c r="K824"/>
      <c r="L824"/>
      <c r="M824"/>
    </row>
    <row r="825" spans="9:13" x14ac:dyDescent="0.25">
      <c r="I825"/>
      <c r="J825"/>
      <c r="K825"/>
      <c r="L825"/>
      <c r="M825"/>
    </row>
    <row r="826" spans="9:13" x14ac:dyDescent="0.25">
      <c r="I826"/>
      <c r="J826"/>
      <c r="K826"/>
      <c r="L826"/>
      <c r="M826"/>
    </row>
    <row r="827" spans="9:13" x14ac:dyDescent="0.25">
      <c r="I827"/>
      <c r="J827"/>
      <c r="K827"/>
      <c r="L827"/>
      <c r="M827"/>
    </row>
    <row r="828" spans="9:13" x14ac:dyDescent="0.25">
      <c r="I828"/>
      <c r="J828"/>
      <c r="K828"/>
      <c r="L828"/>
      <c r="M828"/>
    </row>
    <row r="829" spans="9:13" x14ac:dyDescent="0.25">
      <c r="I829"/>
      <c r="J829"/>
      <c r="K829"/>
      <c r="L829"/>
      <c r="M829"/>
    </row>
    <row r="830" spans="9:13" x14ac:dyDescent="0.25">
      <c r="I830"/>
      <c r="J830"/>
      <c r="K830"/>
      <c r="L830"/>
      <c r="M830"/>
    </row>
    <row r="831" spans="9:13" x14ac:dyDescent="0.25">
      <c r="I831"/>
      <c r="J831"/>
      <c r="K831"/>
      <c r="L831"/>
      <c r="M831"/>
    </row>
    <row r="832" spans="9:13" x14ac:dyDescent="0.25">
      <c r="I832"/>
      <c r="J832"/>
      <c r="K832"/>
      <c r="L832"/>
      <c r="M832"/>
    </row>
    <row r="833" spans="9:13" x14ac:dyDescent="0.25">
      <c r="I833"/>
      <c r="J833"/>
      <c r="K833"/>
      <c r="L833"/>
      <c r="M833"/>
    </row>
    <row r="834" spans="9:13" x14ac:dyDescent="0.25">
      <c r="I834"/>
      <c r="J834"/>
      <c r="K834"/>
      <c r="L834"/>
      <c r="M834"/>
    </row>
    <row r="835" spans="9:13" x14ac:dyDescent="0.25">
      <c r="I835"/>
      <c r="J835"/>
      <c r="K835"/>
      <c r="L835"/>
      <c r="M835"/>
    </row>
    <row r="836" spans="9:13" x14ac:dyDescent="0.25">
      <c r="I836"/>
      <c r="J836"/>
      <c r="K836"/>
      <c r="L836"/>
      <c r="M836"/>
    </row>
    <row r="837" spans="9:13" x14ac:dyDescent="0.25">
      <c r="I837"/>
      <c r="J837"/>
      <c r="K837"/>
      <c r="L837"/>
      <c r="M837"/>
    </row>
    <row r="838" spans="9:13" x14ac:dyDescent="0.25">
      <c r="I838"/>
      <c r="J838"/>
      <c r="K838"/>
      <c r="L838"/>
      <c r="M838"/>
    </row>
    <row r="839" spans="9:13" x14ac:dyDescent="0.25">
      <c r="I839"/>
      <c r="J839"/>
      <c r="K839"/>
      <c r="L839"/>
      <c r="M839"/>
    </row>
    <row r="840" spans="9:13" x14ac:dyDescent="0.25">
      <c r="I840"/>
      <c r="J840"/>
      <c r="K840"/>
      <c r="L840"/>
      <c r="M840"/>
    </row>
    <row r="841" spans="9:13" x14ac:dyDescent="0.25">
      <c r="I841"/>
      <c r="J841"/>
      <c r="K841"/>
      <c r="L841"/>
      <c r="M841"/>
    </row>
    <row r="842" spans="9:13" x14ac:dyDescent="0.25">
      <c r="I842"/>
      <c r="J842"/>
      <c r="K842"/>
      <c r="L842"/>
      <c r="M842"/>
    </row>
    <row r="843" spans="9:13" x14ac:dyDescent="0.25">
      <c r="I843"/>
      <c r="J843"/>
      <c r="K843"/>
      <c r="L843"/>
      <c r="M843"/>
    </row>
    <row r="844" spans="9:13" x14ac:dyDescent="0.25">
      <c r="I844"/>
      <c r="J844"/>
      <c r="K844"/>
      <c r="L844"/>
      <c r="M844"/>
    </row>
    <row r="845" spans="9:13" x14ac:dyDescent="0.25">
      <c r="I845"/>
      <c r="J845"/>
      <c r="K845"/>
      <c r="L845"/>
      <c r="M845"/>
    </row>
    <row r="846" spans="9:13" x14ac:dyDescent="0.25">
      <c r="I846"/>
      <c r="J846"/>
      <c r="K846"/>
      <c r="L846"/>
      <c r="M846"/>
    </row>
    <row r="847" spans="9:13" x14ac:dyDescent="0.25">
      <c r="I847"/>
      <c r="J847"/>
      <c r="K847"/>
      <c r="L847"/>
      <c r="M847"/>
    </row>
    <row r="848" spans="9:13" x14ac:dyDescent="0.25">
      <c r="I848"/>
      <c r="J848"/>
      <c r="K848"/>
      <c r="L848"/>
      <c r="M848"/>
    </row>
    <row r="849" spans="9:13" x14ac:dyDescent="0.25">
      <c r="I849"/>
      <c r="J849"/>
      <c r="K849"/>
      <c r="L849"/>
      <c r="M849"/>
    </row>
    <row r="850" spans="9:13" x14ac:dyDescent="0.25">
      <c r="I850"/>
      <c r="J850"/>
      <c r="K850"/>
      <c r="L850"/>
      <c r="M850"/>
    </row>
    <row r="851" spans="9:13" x14ac:dyDescent="0.25">
      <c r="I851"/>
      <c r="J851"/>
      <c r="K851"/>
      <c r="L851"/>
      <c r="M851"/>
    </row>
    <row r="852" spans="9:13" x14ac:dyDescent="0.25">
      <c r="I852"/>
      <c r="J852"/>
      <c r="K852"/>
      <c r="L852"/>
      <c r="M852"/>
    </row>
    <row r="853" spans="9:13" x14ac:dyDescent="0.25">
      <c r="I853"/>
      <c r="J853"/>
      <c r="K853"/>
      <c r="L853"/>
      <c r="M853"/>
    </row>
    <row r="854" spans="9:13" x14ac:dyDescent="0.25">
      <c r="I854"/>
      <c r="J854"/>
      <c r="K854"/>
      <c r="L854"/>
      <c r="M854"/>
    </row>
    <row r="855" spans="9:13" x14ac:dyDescent="0.25">
      <c r="I855"/>
      <c r="J855"/>
      <c r="K855"/>
      <c r="L855"/>
      <c r="M855"/>
    </row>
    <row r="856" spans="9:13" x14ac:dyDescent="0.25">
      <c r="I856"/>
      <c r="J856"/>
      <c r="K856"/>
      <c r="L856"/>
      <c r="M856"/>
    </row>
    <row r="857" spans="9:13" x14ac:dyDescent="0.25">
      <c r="I857"/>
      <c r="J857"/>
      <c r="K857"/>
      <c r="L857"/>
      <c r="M857"/>
    </row>
    <row r="858" spans="9:13" x14ac:dyDescent="0.25">
      <c r="I858"/>
      <c r="J858"/>
      <c r="K858"/>
      <c r="L858"/>
      <c r="M858"/>
    </row>
    <row r="859" spans="9:13" x14ac:dyDescent="0.25">
      <c r="I859"/>
      <c r="J859"/>
      <c r="K859"/>
      <c r="L859"/>
      <c r="M859"/>
    </row>
    <row r="860" spans="9:13" x14ac:dyDescent="0.25">
      <c r="I860"/>
      <c r="J860"/>
      <c r="K860"/>
      <c r="L860"/>
      <c r="M860"/>
    </row>
    <row r="861" spans="9:13" x14ac:dyDescent="0.25">
      <c r="I861"/>
      <c r="J861"/>
      <c r="K861"/>
      <c r="L861"/>
      <c r="M861"/>
    </row>
    <row r="862" spans="9:13" x14ac:dyDescent="0.25">
      <c r="I862"/>
      <c r="J862"/>
      <c r="K862"/>
      <c r="L862"/>
      <c r="M862"/>
    </row>
    <row r="863" spans="9:13" x14ac:dyDescent="0.25">
      <c r="I863"/>
      <c r="J863"/>
      <c r="K863"/>
      <c r="L863"/>
      <c r="M863"/>
    </row>
    <row r="864" spans="9:13" x14ac:dyDescent="0.25">
      <c r="I864"/>
      <c r="J864"/>
      <c r="K864"/>
      <c r="L864"/>
      <c r="M864"/>
    </row>
    <row r="865" spans="9:13" x14ac:dyDescent="0.25">
      <c r="I865"/>
      <c r="J865"/>
      <c r="K865"/>
      <c r="L865"/>
      <c r="M865"/>
    </row>
    <row r="866" spans="9:13" x14ac:dyDescent="0.25">
      <c r="I866"/>
      <c r="J866"/>
      <c r="K866"/>
      <c r="L866"/>
      <c r="M866"/>
    </row>
    <row r="867" spans="9:13" x14ac:dyDescent="0.25">
      <c r="I867"/>
      <c r="J867"/>
      <c r="K867"/>
      <c r="L867"/>
      <c r="M867"/>
    </row>
    <row r="868" spans="9:13" x14ac:dyDescent="0.25">
      <c r="I868"/>
      <c r="J868"/>
      <c r="K868"/>
      <c r="L868"/>
      <c r="M868"/>
    </row>
    <row r="869" spans="9:13" x14ac:dyDescent="0.25">
      <c r="I869"/>
      <c r="J869"/>
      <c r="K869"/>
      <c r="L869"/>
      <c r="M869"/>
    </row>
    <row r="870" spans="9:13" x14ac:dyDescent="0.25">
      <c r="I870"/>
      <c r="J870"/>
      <c r="K870"/>
      <c r="L870"/>
      <c r="M870"/>
    </row>
    <row r="871" spans="9:13" x14ac:dyDescent="0.25">
      <c r="I871"/>
      <c r="J871"/>
      <c r="K871"/>
      <c r="L871"/>
      <c r="M871"/>
    </row>
    <row r="872" spans="9:13" x14ac:dyDescent="0.25">
      <c r="I872"/>
      <c r="J872"/>
      <c r="K872"/>
      <c r="L872"/>
      <c r="M872"/>
    </row>
    <row r="873" spans="9:13" x14ac:dyDescent="0.25">
      <c r="I873"/>
      <c r="J873"/>
      <c r="K873"/>
      <c r="L873"/>
      <c r="M873"/>
    </row>
    <row r="874" spans="9:13" x14ac:dyDescent="0.25">
      <c r="I874"/>
      <c r="J874"/>
      <c r="K874"/>
      <c r="L874"/>
      <c r="M874"/>
    </row>
    <row r="875" spans="9:13" x14ac:dyDescent="0.25">
      <c r="I875"/>
      <c r="J875"/>
      <c r="K875"/>
      <c r="L875"/>
      <c r="M875"/>
    </row>
    <row r="876" spans="9:13" x14ac:dyDescent="0.25">
      <c r="I876"/>
      <c r="J876"/>
      <c r="K876"/>
      <c r="L876"/>
      <c r="M876"/>
    </row>
    <row r="877" spans="9:13" x14ac:dyDescent="0.25">
      <c r="I877"/>
      <c r="J877"/>
      <c r="K877"/>
      <c r="L877"/>
      <c r="M877"/>
    </row>
    <row r="878" spans="9:13" x14ac:dyDescent="0.25">
      <c r="I878"/>
      <c r="J878"/>
      <c r="K878"/>
      <c r="L878"/>
      <c r="M878"/>
    </row>
    <row r="879" spans="9:13" x14ac:dyDescent="0.25">
      <c r="I879"/>
      <c r="J879"/>
      <c r="K879"/>
      <c r="L879"/>
      <c r="M879"/>
    </row>
    <row r="880" spans="9:13" x14ac:dyDescent="0.25">
      <c r="I880"/>
      <c r="J880"/>
      <c r="K880"/>
      <c r="L880"/>
      <c r="M880"/>
    </row>
    <row r="881" spans="9:13" x14ac:dyDescent="0.25">
      <c r="I881"/>
      <c r="J881"/>
      <c r="K881"/>
      <c r="L881"/>
      <c r="M881"/>
    </row>
    <row r="882" spans="9:13" x14ac:dyDescent="0.25">
      <c r="I882"/>
      <c r="J882"/>
      <c r="K882"/>
      <c r="L882"/>
      <c r="M882"/>
    </row>
    <row r="883" spans="9:13" x14ac:dyDescent="0.25">
      <c r="I883"/>
      <c r="J883"/>
      <c r="K883"/>
      <c r="L883"/>
      <c r="M883"/>
    </row>
    <row r="884" spans="9:13" x14ac:dyDescent="0.25">
      <c r="I884"/>
      <c r="J884"/>
      <c r="K884"/>
      <c r="L884"/>
      <c r="M884"/>
    </row>
    <row r="885" spans="9:13" x14ac:dyDescent="0.25">
      <c r="I885"/>
      <c r="J885"/>
      <c r="K885"/>
      <c r="L885"/>
      <c r="M885"/>
    </row>
    <row r="886" spans="9:13" x14ac:dyDescent="0.25">
      <c r="I886"/>
      <c r="J886"/>
      <c r="K886"/>
      <c r="L886"/>
      <c r="M886"/>
    </row>
    <row r="887" spans="9:13" x14ac:dyDescent="0.25">
      <c r="I887"/>
      <c r="J887"/>
      <c r="K887"/>
      <c r="L887"/>
      <c r="M887"/>
    </row>
    <row r="888" spans="9:13" x14ac:dyDescent="0.25">
      <c r="I888"/>
      <c r="J888"/>
      <c r="K888"/>
      <c r="L888"/>
      <c r="M888"/>
    </row>
    <row r="889" spans="9:13" x14ac:dyDescent="0.25">
      <c r="I889"/>
      <c r="J889"/>
      <c r="K889"/>
      <c r="L889"/>
      <c r="M889"/>
    </row>
    <row r="890" spans="9:13" x14ac:dyDescent="0.25">
      <c r="I890"/>
      <c r="J890"/>
      <c r="K890"/>
      <c r="L890"/>
      <c r="M890"/>
    </row>
    <row r="891" spans="9:13" x14ac:dyDescent="0.25">
      <c r="I891"/>
      <c r="J891"/>
      <c r="K891"/>
      <c r="L891"/>
      <c r="M891"/>
    </row>
    <row r="892" spans="9:13" x14ac:dyDescent="0.25">
      <c r="I892"/>
      <c r="J892"/>
      <c r="K892"/>
      <c r="L892"/>
      <c r="M892"/>
    </row>
    <row r="893" spans="9:13" x14ac:dyDescent="0.25">
      <c r="I893"/>
      <c r="J893"/>
      <c r="K893"/>
      <c r="L893"/>
      <c r="M893"/>
    </row>
    <row r="894" spans="9:13" x14ac:dyDescent="0.25">
      <c r="I894"/>
      <c r="J894"/>
      <c r="K894"/>
      <c r="L894"/>
      <c r="M894"/>
    </row>
    <row r="895" spans="9:13" x14ac:dyDescent="0.25">
      <c r="I895"/>
      <c r="J895"/>
      <c r="K895"/>
      <c r="L895"/>
      <c r="M895"/>
    </row>
    <row r="896" spans="9:13" x14ac:dyDescent="0.25">
      <c r="I896"/>
      <c r="J896"/>
      <c r="K896"/>
      <c r="L896"/>
      <c r="M896"/>
    </row>
    <row r="897" spans="9:13" x14ac:dyDescent="0.25">
      <c r="I897"/>
      <c r="J897"/>
      <c r="K897"/>
      <c r="L897"/>
      <c r="M897"/>
    </row>
    <row r="898" spans="9:13" x14ac:dyDescent="0.25">
      <c r="I898"/>
      <c r="J898"/>
      <c r="K898"/>
      <c r="L898"/>
      <c r="M898"/>
    </row>
    <row r="899" spans="9:13" x14ac:dyDescent="0.25">
      <c r="I899"/>
      <c r="J899"/>
      <c r="K899"/>
      <c r="L899"/>
      <c r="M899"/>
    </row>
    <row r="900" spans="9:13" x14ac:dyDescent="0.25">
      <c r="I900"/>
      <c r="J900"/>
      <c r="K900"/>
      <c r="L900"/>
      <c r="M900"/>
    </row>
    <row r="901" spans="9:13" x14ac:dyDescent="0.25">
      <c r="I901"/>
      <c r="J901"/>
      <c r="K901"/>
      <c r="L901"/>
      <c r="M901"/>
    </row>
    <row r="902" spans="9:13" x14ac:dyDescent="0.25">
      <c r="I902"/>
      <c r="J902"/>
      <c r="K902"/>
      <c r="L902"/>
      <c r="M902"/>
    </row>
    <row r="903" spans="9:13" x14ac:dyDescent="0.25">
      <c r="I903"/>
      <c r="J903"/>
      <c r="K903"/>
      <c r="L903"/>
      <c r="M903"/>
    </row>
    <row r="904" spans="9:13" x14ac:dyDescent="0.25">
      <c r="I904"/>
      <c r="J904"/>
      <c r="K904"/>
      <c r="L904"/>
      <c r="M904"/>
    </row>
    <row r="905" spans="9:13" x14ac:dyDescent="0.25">
      <c r="I905"/>
      <c r="J905"/>
      <c r="K905"/>
      <c r="L905"/>
      <c r="M905"/>
    </row>
    <row r="906" spans="9:13" x14ac:dyDescent="0.25">
      <c r="I906"/>
      <c r="J906"/>
      <c r="K906"/>
      <c r="L906"/>
      <c r="M906"/>
    </row>
    <row r="907" spans="9:13" x14ac:dyDescent="0.25">
      <c r="I907"/>
      <c r="J907"/>
      <c r="K907"/>
      <c r="L907"/>
      <c r="M907"/>
    </row>
    <row r="908" spans="9:13" x14ac:dyDescent="0.25">
      <c r="I908"/>
      <c r="J908"/>
      <c r="K908"/>
      <c r="L908"/>
      <c r="M908"/>
    </row>
    <row r="909" spans="9:13" x14ac:dyDescent="0.25">
      <c r="I909"/>
      <c r="J909"/>
      <c r="K909"/>
      <c r="L909"/>
      <c r="M909"/>
    </row>
    <row r="910" spans="9:13" x14ac:dyDescent="0.25">
      <c r="I910"/>
      <c r="J910"/>
      <c r="K910"/>
      <c r="L910"/>
      <c r="M910"/>
    </row>
    <row r="911" spans="9:13" x14ac:dyDescent="0.25">
      <c r="I911"/>
      <c r="J911"/>
      <c r="K911"/>
      <c r="L911"/>
      <c r="M911"/>
    </row>
    <row r="912" spans="9:13" x14ac:dyDescent="0.25">
      <c r="I912"/>
      <c r="J912"/>
      <c r="K912"/>
      <c r="L912"/>
      <c r="M912"/>
    </row>
    <row r="913" spans="9:13" x14ac:dyDescent="0.25">
      <c r="I913"/>
      <c r="J913"/>
      <c r="K913"/>
      <c r="L913"/>
      <c r="M913"/>
    </row>
    <row r="914" spans="9:13" x14ac:dyDescent="0.25">
      <c r="I914"/>
      <c r="J914"/>
      <c r="K914"/>
      <c r="L914"/>
      <c r="M914"/>
    </row>
    <row r="915" spans="9:13" x14ac:dyDescent="0.25">
      <c r="I915"/>
      <c r="J915"/>
      <c r="K915"/>
      <c r="L915"/>
      <c r="M915"/>
    </row>
    <row r="916" spans="9:13" x14ac:dyDescent="0.25">
      <c r="I916"/>
      <c r="J916"/>
      <c r="K916"/>
      <c r="L916"/>
      <c r="M916"/>
    </row>
    <row r="917" spans="9:13" x14ac:dyDescent="0.25">
      <c r="I917"/>
      <c r="J917"/>
      <c r="K917"/>
      <c r="L917"/>
      <c r="M917"/>
    </row>
    <row r="918" spans="9:13" x14ac:dyDescent="0.25">
      <c r="I918"/>
      <c r="J918"/>
      <c r="K918"/>
      <c r="L918"/>
      <c r="M918"/>
    </row>
    <row r="919" spans="9:13" x14ac:dyDescent="0.25">
      <c r="I919"/>
      <c r="J919"/>
      <c r="K919"/>
      <c r="L919"/>
      <c r="M919"/>
    </row>
    <row r="920" spans="9:13" x14ac:dyDescent="0.25">
      <c r="I920"/>
      <c r="J920"/>
      <c r="K920"/>
      <c r="L920"/>
      <c r="M920"/>
    </row>
    <row r="921" spans="9:13" x14ac:dyDescent="0.25">
      <c r="I921"/>
      <c r="J921"/>
      <c r="K921"/>
      <c r="L921"/>
      <c r="M921"/>
    </row>
    <row r="922" spans="9:13" x14ac:dyDescent="0.25">
      <c r="I922"/>
      <c r="J922"/>
      <c r="K922"/>
      <c r="L922"/>
      <c r="M922"/>
    </row>
    <row r="923" spans="9:13" x14ac:dyDescent="0.25">
      <c r="I923"/>
      <c r="J923"/>
      <c r="K923"/>
      <c r="L923"/>
      <c r="M923"/>
    </row>
    <row r="924" spans="9:13" x14ac:dyDescent="0.25">
      <c r="I924"/>
      <c r="J924"/>
      <c r="K924"/>
      <c r="L924"/>
      <c r="M924"/>
    </row>
    <row r="925" spans="9:13" x14ac:dyDescent="0.25">
      <c r="I925"/>
      <c r="J925"/>
      <c r="K925"/>
      <c r="L925"/>
      <c r="M925"/>
    </row>
    <row r="926" spans="9:13" x14ac:dyDescent="0.25">
      <c r="I926"/>
      <c r="J926"/>
      <c r="K926"/>
      <c r="L926"/>
      <c r="M926"/>
    </row>
    <row r="927" spans="9:13" x14ac:dyDescent="0.25">
      <c r="I927"/>
      <c r="J927"/>
      <c r="K927"/>
      <c r="L927"/>
      <c r="M927"/>
    </row>
    <row r="928" spans="9:13" x14ac:dyDescent="0.25">
      <c r="I928"/>
      <c r="J928"/>
      <c r="K928"/>
      <c r="L928"/>
      <c r="M928"/>
    </row>
    <row r="929" spans="9:13" x14ac:dyDescent="0.25">
      <c r="I929"/>
      <c r="J929"/>
      <c r="K929"/>
      <c r="L929"/>
      <c r="M929"/>
    </row>
    <row r="930" spans="9:13" x14ac:dyDescent="0.25">
      <c r="I930"/>
      <c r="J930"/>
      <c r="K930"/>
      <c r="L930"/>
      <c r="M930"/>
    </row>
    <row r="931" spans="9:13" x14ac:dyDescent="0.25">
      <c r="I931"/>
      <c r="J931"/>
      <c r="K931"/>
      <c r="L931"/>
      <c r="M931"/>
    </row>
    <row r="932" spans="9:13" x14ac:dyDescent="0.25">
      <c r="I932"/>
      <c r="J932"/>
      <c r="K932"/>
      <c r="L932"/>
      <c r="M932"/>
    </row>
    <row r="933" spans="9:13" x14ac:dyDescent="0.25">
      <c r="I933"/>
      <c r="J933"/>
      <c r="K933"/>
      <c r="L933"/>
      <c r="M933"/>
    </row>
    <row r="934" spans="9:13" x14ac:dyDescent="0.25">
      <c r="I934"/>
      <c r="J934"/>
      <c r="K934"/>
      <c r="L934"/>
      <c r="M934"/>
    </row>
    <row r="935" spans="9:13" x14ac:dyDescent="0.25">
      <c r="I935"/>
      <c r="J935"/>
      <c r="K935"/>
      <c r="L935"/>
      <c r="M935"/>
    </row>
    <row r="936" spans="9:13" x14ac:dyDescent="0.25">
      <c r="I936"/>
      <c r="J936"/>
      <c r="K936"/>
      <c r="L936"/>
      <c r="M936"/>
    </row>
    <row r="937" spans="9:13" x14ac:dyDescent="0.25">
      <c r="I937"/>
      <c r="J937"/>
      <c r="K937"/>
      <c r="L937"/>
      <c r="M937"/>
    </row>
    <row r="938" spans="9:13" x14ac:dyDescent="0.25">
      <c r="I938"/>
      <c r="J938"/>
      <c r="K938"/>
      <c r="L938"/>
      <c r="M938"/>
    </row>
    <row r="939" spans="9:13" x14ac:dyDescent="0.25">
      <c r="I939"/>
      <c r="J939"/>
      <c r="K939"/>
      <c r="L939"/>
      <c r="M939"/>
    </row>
    <row r="940" spans="9:13" x14ac:dyDescent="0.25">
      <c r="I940"/>
      <c r="J940"/>
      <c r="K940"/>
      <c r="L940"/>
      <c r="M940"/>
    </row>
    <row r="941" spans="9:13" x14ac:dyDescent="0.25">
      <c r="I941"/>
      <c r="J941"/>
      <c r="K941"/>
      <c r="L941"/>
      <c r="M941"/>
    </row>
    <row r="942" spans="9:13" x14ac:dyDescent="0.25">
      <c r="I942"/>
      <c r="J942"/>
      <c r="K942"/>
      <c r="L942"/>
      <c r="M942"/>
    </row>
    <row r="943" spans="9:13" x14ac:dyDescent="0.25">
      <c r="I943"/>
      <c r="J943"/>
      <c r="K943"/>
      <c r="L943"/>
      <c r="M943"/>
    </row>
    <row r="944" spans="9:13" x14ac:dyDescent="0.25">
      <c r="I944"/>
      <c r="J944"/>
      <c r="K944"/>
      <c r="L944"/>
      <c r="M944"/>
    </row>
    <row r="945" spans="9:13" x14ac:dyDescent="0.25">
      <c r="I945"/>
      <c r="J945"/>
      <c r="K945"/>
      <c r="L945"/>
      <c r="M945"/>
    </row>
    <row r="946" spans="9:13" x14ac:dyDescent="0.25">
      <c r="I946"/>
      <c r="J946"/>
      <c r="K946"/>
      <c r="L946"/>
      <c r="M946"/>
    </row>
    <row r="947" spans="9:13" x14ac:dyDescent="0.25">
      <c r="I947"/>
      <c r="J947"/>
      <c r="K947"/>
      <c r="L947"/>
      <c r="M947"/>
    </row>
    <row r="948" spans="9:13" x14ac:dyDescent="0.25">
      <c r="I948"/>
      <c r="J948"/>
      <c r="K948"/>
      <c r="L948"/>
      <c r="M948"/>
    </row>
    <row r="949" spans="9:13" x14ac:dyDescent="0.25">
      <c r="I949"/>
      <c r="J949"/>
      <c r="K949"/>
      <c r="L949"/>
      <c r="M949"/>
    </row>
    <row r="950" spans="9:13" x14ac:dyDescent="0.25">
      <c r="I950"/>
      <c r="J950"/>
      <c r="K950"/>
      <c r="L950"/>
      <c r="M950"/>
    </row>
    <row r="951" spans="9:13" x14ac:dyDescent="0.25">
      <c r="I951"/>
      <c r="J951"/>
      <c r="K951"/>
      <c r="L951"/>
      <c r="M951"/>
    </row>
    <row r="952" spans="9:13" x14ac:dyDescent="0.25">
      <c r="I952"/>
      <c r="J952"/>
      <c r="K952"/>
      <c r="L952"/>
      <c r="M952"/>
    </row>
    <row r="953" spans="9:13" x14ac:dyDescent="0.25">
      <c r="I953"/>
      <c r="J953"/>
      <c r="K953"/>
      <c r="L953"/>
      <c r="M953"/>
    </row>
    <row r="954" spans="9:13" x14ac:dyDescent="0.25">
      <c r="I954"/>
      <c r="J954"/>
      <c r="K954"/>
      <c r="L954"/>
      <c r="M954"/>
    </row>
    <row r="955" spans="9:13" x14ac:dyDescent="0.25">
      <c r="I955"/>
      <c r="J955"/>
      <c r="K955"/>
      <c r="L955"/>
      <c r="M955"/>
    </row>
    <row r="956" spans="9:13" x14ac:dyDescent="0.25">
      <c r="I956"/>
      <c r="J956"/>
      <c r="K956"/>
      <c r="L956"/>
      <c r="M956"/>
    </row>
    <row r="957" spans="9:13" x14ac:dyDescent="0.25">
      <c r="I957"/>
      <c r="J957"/>
      <c r="K957"/>
      <c r="L957"/>
      <c r="M957"/>
    </row>
    <row r="958" spans="9:13" x14ac:dyDescent="0.25">
      <c r="I958"/>
      <c r="J958"/>
      <c r="K958"/>
      <c r="L958"/>
      <c r="M958"/>
    </row>
    <row r="959" spans="9:13" x14ac:dyDescent="0.25">
      <c r="I959"/>
      <c r="J959"/>
      <c r="K959"/>
      <c r="L959"/>
      <c r="M959"/>
    </row>
    <row r="960" spans="9:13" x14ac:dyDescent="0.25">
      <c r="I960"/>
      <c r="J960"/>
      <c r="K960"/>
      <c r="L960"/>
      <c r="M960"/>
    </row>
    <row r="961" spans="9:13" x14ac:dyDescent="0.25">
      <c r="I961"/>
      <c r="J961"/>
      <c r="K961"/>
      <c r="L961"/>
      <c r="M961"/>
    </row>
    <row r="962" spans="9:13" x14ac:dyDescent="0.25">
      <c r="I962"/>
      <c r="J962"/>
      <c r="K962"/>
      <c r="L962"/>
      <c r="M962"/>
    </row>
    <row r="963" spans="9:13" x14ac:dyDescent="0.25">
      <c r="I963"/>
      <c r="J963"/>
      <c r="K963"/>
      <c r="L963"/>
      <c r="M963"/>
    </row>
    <row r="964" spans="9:13" x14ac:dyDescent="0.25">
      <c r="I964"/>
      <c r="J964"/>
      <c r="K964"/>
      <c r="L964"/>
      <c r="M964"/>
    </row>
    <row r="965" spans="9:13" x14ac:dyDescent="0.25">
      <c r="I965"/>
      <c r="J965"/>
      <c r="K965"/>
      <c r="L965"/>
      <c r="M965"/>
    </row>
    <row r="966" spans="9:13" x14ac:dyDescent="0.25">
      <c r="I966"/>
      <c r="J966"/>
      <c r="K966"/>
      <c r="L966"/>
      <c r="M966"/>
    </row>
    <row r="967" spans="9:13" x14ac:dyDescent="0.25">
      <c r="I967"/>
      <c r="J967"/>
      <c r="K967"/>
      <c r="L967"/>
      <c r="M967"/>
    </row>
    <row r="968" spans="9:13" x14ac:dyDescent="0.25">
      <c r="I968"/>
      <c r="J968"/>
      <c r="K968"/>
      <c r="L968"/>
      <c r="M968"/>
    </row>
    <row r="969" spans="9:13" x14ac:dyDescent="0.25">
      <c r="I969"/>
      <c r="J969"/>
      <c r="K969"/>
      <c r="L969"/>
      <c r="M969"/>
    </row>
    <row r="970" spans="9:13" x14ac:dyDescent="0.25">
      <c r="I970"/>
      <c r="J970"/>
      <c r="K970"/>
      <c r="L970"/>
      <c r="M970"/>
    </row>
    <row r="971" spans="9:13" x14ac:dyDescent="0.25">
      <c r="I971"/>
      <c r="J971"/>
      <c r="K971"/>
      <c r="L971"/>
      <c r="M971"/>
    </row>
    <row r="972" spans="9:13" x14ac:dyDescent="0.25">
      <c r="I972"/>
      <c r="J972"/>
      <c r="K972"/>
      <c r="L972"/>
      <c r="M972"/>
    </row>
    <row r="973" spans="9:13" x14ac:dyDescent="0.25">
      <c r="I973"/>
      <c r="J973"/>
      <c r="K973"/>
      <c r="L973"/>
      <c r="M973"/>
    </row>
    <row r="974" spans="9:13" x14ac:dyDescent="0.25">
      <c r="I974"/>
      <c r="J974"/>
      <c r="K974"/>
      <c r="L974"/>
      <c r="M974"/>
    </row>
    <row r="975" spans="9:13" x14ac:dyDescent="0.25">
      <c r="I975"/>
      <c r="J975"/>
      <c r="K975"/>
      <c r="L975"/>
      <c r="M975"/>
    </row>
    <row r="976" spans="9:13" x14ac:dyDescent="0.25">
      <c r="I976"/>
      <c r="J976"/>
      <c r="K976"/>
      <c r="L976"/>
      <c r="M976"/>
    </row>
    <row r="977" spans="9:13" x14ac:dyDescent="0.25">
      <c r="I977"/>
      <c r="J977"/>
      <c r="K977"/>
      <c r="L977"/>
      <c r="M977"/>
    </row>
    <row r="978" spans="9:13" x14ac:dyDescent="0.25">
      <c r="I978"/>
      <c r="J978"/>
      <c r="K978"/>
      <c r="L978"/>
      <c r="M978"/>
    </row>
    <row r="979" spans="9:13" x14ac:dyDescent="0.25">
      <c r="I979"/>
      <c r="J979"/>
      <c r="K979"/>
      <c r="L979"/>
      <c r="M979"/>
    </row>
    <row r="980" spans="9:13" x14ac:dyDescent="0.25">
      <c r="I980"/>
      <c r="J980"/>
      <c r="K980"/>
      <c r="L980"/>
      <c r="M980"/>
    </row>
    <row r="981" spans="9:13" x14ac:dyDescent="0.25">
      <c r="I981"/>
      <c r="J981"/>
      <c r="K981"/>
      <c r="L981"/>
      <c r="M981"/>
    </row>
    <row r="982" spans="9:13" x14ac:dyDescent="0.25">
      <c r="I982"/>
      <c r="J982"/>
      <c r="K982"/>
      <c r="L982"/>
      <c r="M982"/>
    </row>
    <row r="983" spans="9:13" x14ac:dyDescent="0.25">
      <c r="I983"/>
      <c r="J983"/>
      <c r="K983"/>
      <c r="L983"/>
      <c r="M983"/>
    </row>
    <row r="984" spans="9:13" x14ac:dyDescent="0.25">
      <c r="I984"/>
      <c r="J984"/>
      <c r="K984"/>
      <c r="L984"/>
      <c r="M984"/>
    </row>
    <row r="985" spans="9:13" x14ac:dyDescent="0.25">
      <c r="I985"/>
      <c r="J985"/>
      <c r="K985"/>
      <c r="L985"/>
      <c r="M985"/>
    </row>
    <row r="986" spans="9:13" x14ac:dyDescent="0.25">
      <c r="I986"/>
      <c r="J986"/>
      <c r="K986"/>
      <c r="L986"/>
      <c r="M986"/>
    </row>
    <row r="987" spans="9:13" x14ac:dyDescent="0.25">
      <c r="I987"/>
      <c r="J987"/>
      <c r="K987"/>
      <c r="L987"/>
      <c r="M987"/>
    </row>
    <row r="988" spans="9:13" x14ac:dyDescent="0.25">
      <c r="I988"/>
      <c r="J988"/>
      <c r="K988"/>
      <c r="L988"/>
      <c r="M988"/>
    </row>
    <row r="989" spans="9:13" x14ac:dyDescent="0.25">
      <c r="I989"/>
      <c r="J989"/>
      <c r="K989"/>
      <c r="L989"/>
      <c r="M989"/>
    </row>
    <row r="990" spans="9:13" x14ac:dyDescent="0.25">
      <c r="I990"/>
      <c r="J990"/>
      <c r="K990"/>
      <c r="L990"/>
      <c r="M990"/>
    </row>
    <row r="991" spans="9:13" x14ac:dyDescent="0.25">
      <c r="I991"/>
      <c r="J991"/>
      <c r="K991"/>
      <c r="L991"/>
      <c r="M991"/>
    </row>
    <row r="992" spans="9:13" x14ac:dyDescent="0.25">
      <c r="I992"/>
      <c r="J992"/>
      <c r="K992"/>
      <c r="L992"/>
      <c r="M992"/>
    </row>
    <row r="993" spans="9:13" x14ac:dyDescent="0.25">
      <c r="I993"/>
      <c r="J993"/>
      <c r="K993"/>
      <c r="L993"/>
      <c r="M993"/>
    </row>
    <row r="994" spans="9:13" x14ac:dyDescent="0.25">
      <c r="I994"/>
      <c r="J994"/>
      <c r="K994"/>
      <c r="L994"/>
      <c r="M994"/>
    </row>
    <row r="995" spans="9:13" x14ac:dyDescent="0.25">
      <c r="I995"/>
      <c r="J995"/>
      <c r="K995"/>
      <c r="L995"/>
      <c r="M995"/>
    </row>
    <row r="996" spans="9:13" x14ac:dyDescent="0.25">
      <c r="I996"/>
      <c r="J996"/>
      <c r="K996"/>
      <c r="L996"/>
      <c r="M996"/>
    </row>
    <row r="997" spans="9:13" x14ac:dyDescent="0.25">
      <c r="I997"/>
      <c r="J997"/>
      <c r="K997"/>
      <c r="L997"/>
      <c r="M997"/>
    </row>
    <row r="998" spans="9:13" x14ac:dyDescent="0.25">
      <c r="I998"/>
      <c r="J998"/>
      <c r="K998"/>
      <c r="L998"/>
      <c r="M998"/>
    </row>
    <row r="999" spans="9:13" x14ac:dyDescent="0.25">
      <c r="I999"/>
      <c r="J999"/>
      <c r="K999"/>
      <c r="L999"/>
      <c r="M999"/>
    </row>
    <row r="1000" spans="9:13" x14ac:dyDescent="0.25">
      <c r="I1000"/>
      <c r="J1000"/>
      <c r="K1000"/>
      <c r="L1000"/>
      <c r="M1000"/>
    </row>
    <row r="1001" spans="9:13" x14ac:dyDescent="0.25">
      <c r="I1001"/>
      <c r="J1001"/>
      <c r="K1001"/>
      <c r="L1001"/>
      <c r="M1001"/>
    </row>
    <row r="1002" spans="9:13" x14ac:dyDescent="0.25">
      <c r="I1002"/>
      <c r="J1002"/>
      <c r="K1002"/>
      <c r="L1002"/>
      <c r="M1002"/>
    </row>
    <row r="1003" spans="9:13" x14ac:dyDescent="0.25">
      <c r="I1003"/>
      <c r="J1003"/>
      <c r="K1003"/>
      <c r="L1003"/>
      <c r="M1003"/>
    </row>
    <row r="1004" spans="9:13" x14ac:dyDescent="0.25">
      <c r="I1004"/>
      <c r="J1004"/>
      <c r="K1004"/>
      <c r="L1004"/>
      <c r="M1004"/>
    </row>
    <row r="1005" spans="9:13" x14ac:dyDescent="0.25">
      <c r="I1005"/>
      <c r="J1005"/>
      <c r="K1005"/>
      <c r="L1005"/>
      <c r="M1005"/>
    </row>
    <row r="1006" spans="9:13" x14ac:dyDescent="0.25">
      <c r="I1006"/>
      <c r="J1006"/>
      <c r="K1006"/>
      <c r="L1006"/>
      <c r="M1006"/>
    </row>
    <row r="1007" spans="9:13" x14ac:dyDescent="0.25">
      <c r="I1007"/>
      <c r="J1007"/>
      <c r="K1007"/>
      <c r="L1007"/>
      <c r="M1007"/>
    </row>
    <row r="1008" spans="9:13" x14ac:dyDescent="0.25">
      <c r="I1008"/>
      <c r="J1008"/>
      <c r="K1008"/>
      <c r="L1008"/>
      <c r="M1008"/>
    </row>
    <row r="1009" spans="9:13" x14ac:dyDescent="0.25">
      <c r="I1009"/>
      <c r="J1009"/>
      <c r="K1009"/>
      <c r="L1009"/>
      <c r="M1009"/>
    </row>
    <row r="1010" spans="9:13" x14ac:dyDescent="0.25">
      <c r="I1010"/>
      <c r="J1010"/>
      <c r="K1010"/>
      <c r="L1010"/>
      <c r="M1010"/>
    </row>
    <row r="1011" spans="9:13" x14ac:dyDescent="0.25">
      <c r="I1011"/>
      <c r="J1011"/>
      <c r="K1011"/>
      <c r="L1011"/>
      <c r="M1011"/>
    </row>
    <row r="1012" spans="9:13" x14ac:dyDescent="0.25">
      <c r="I1012"/>
      <c r="J1012"/>
      <c r="K1012"/>
      <c r="L1012"/>
      <c r="M1012"/>
    </row>
    <row r="1013" spans="9:13" x14ac:dyDescent="0.25">
      <c r="I1013"/>
      <c r="J1013"/>
      <c r="K1013"/>
      <c r="L1013"/>
      <c r="M1013"/>
    </row>
    <row r="1014" spans="9:13" x14ac:dyDescent="0.25">
      <c r="I1014"/>
      <c r="J1014"/>
      <c r="K1014"/>
      <c r="L1014"/>
      <c r="M1014"/>
    </row>
    <row r="1015" spans="9:13" x14ac:dyDescent="0.25">
      <c r="I1015"/>
      <c r="J1015"/>
      <c r="K1015"/>
      <c r="L1015"/>
      <c r="M1015"/>
    </row>
    <row r="1016" spans="9:13" x14ac:dyDescent="0.25">
      <c r="I1016"/>
      <c r="J1016"/>
      <c r="K1016"/>
      <c r="L1016"/>
      <c r="M1016"/>
    </row>
    <row r="1017" spans="9:13" x14ac:dyDescent="0.25">
      <c r="I1017"/>
      <c r="J1017"/>
      <c r="K1017"/>
      <c r="L1017"/>
      <c r="M1017"/>
    </row>
    <row r="1018" spans="9:13" x14ac:dyDescent="0.25">
      <c r="I1018"/>
      <c r="J1018"/>
      <c r="K1018"/>
      <c r="L1018"/>
      <c r="M1018"/>
    </row>
    <row r="1019" spans="9:13" x14ac:dyDescent="0.25">
      <c r="I1019"/>
      <c r="J1019"/>
      <c r="K1019"/>
      <c r="L1019"/>
      <c r="M1019"/>
    </row>
    <row r="1020" spans="9:13" x14ac:dyDescent="0.25">
      <c r="I1020"/>
      <c r="J1020"/>
      <c r="K1020"/>
      <c r="L1020"/>
      <c r="M1020"/>
    </row>
    <row r="1021" spans="9:13" x14ac:dyDescent="0.25">
      <c r="I1021"/>
      <c r="J1021"/>
      <c r="K1021"/>
      <c r="L1021"/>
      <c r="M1021"/>
    </row>
    <row r="1022" spans="9:13" x14ac:dyDescent="0.25">
      <c r="I1022"/>
      <c r="J1022"/>
      <c r="K1022"/>
      <c r="L1022"/>
      <c r="M1022"/>
    </row>
    <row r="1023" spans="9:13" x14ac:dyDescent="0.25">
      <c r="I1023"/>
      <c r="J1023"/>
      <c r="K1023"/>
      <c r="L1023"/>
      <c r="M1023"/>
    </row>
    <row r="1024" spans="9:13" x14ac:dyDescent="0.25">
      <c r="I1024"/>
      <c r="J1024"/>
      <c r="K1024"/>
      <c r="L1024"/>
      <c r="M1024"/>
    </row>
    <row r="1025" spans="9:13" x14ac:dyDescent="0.25">
      <c r="I1025"/>
      <c r="J1025"/>
      <c r="K1025"/>
      <c r="L1025"/>
      <c r="M1025"/>
    </row>
    <row r="1026" spans="9:13" x14ac:dyDescent="0.25">
      <c r="I1026"/>
      <c r="J1026"/>
      <c r="K1026"/>
      <c r="L1026"/>
      <c r="M1026"/>
    </row>
    <row r="1027" spans="9:13" x14ac:dyDescent="0.25">
      <c r="I1027"/>
      <c r="J1027"/>
      <c r="K1027"/>
      <c r="L1027"/>
      <c r="M1027"/>
    </row>
    <row r="1028" spans="9:13" x14ac:dyDescent="0.25">
      <c r="I1028"/>
      <c r="J1028"/>
      <c r="K1028"/>
      <c r="L1028"/>
      <c r="M1028"/>
    </row>
    <row r="1029" spans="9:13" x14ac:dyDescent="0.25">
      <c r="I1029"/>
      <c r="J1029"/>
      <c r="K1029"/>
      <c r="L1029"/>
      <c r="M1029"/>
    </row>
    <row r="1030" spans="9:13" x14ac:dyDescent="0.25">
      <c r="I1030"/>
      <c r="J1030"/>
      <c r="K1030"/>
      <c r="L1030"/>
      <c r="M1030"/>
    </row>
    <row r="1031" spans="9:13" x14ac:dyDescent="0.25">
      <c r="I1031"/>
      <c r="J1031"/>
      <c r="K1031"/>
      <c r="L1031"/>
      <c r="M1031"/>
    </row>
    <row r="1032" spans="9:13" x14ac:dyDescent="0.25">
      <c r="I1032"/>
      <c r="J1032"/>
      <c r="K1032"/>
      <c r="L1032"/>
      <c r="M1032"/>
    </row>
    <row r="1033" spans="9:13" x14ac:dyDescent="0.25">
      <c r="I1033"/>
      <c r="J1033"/>
      <c r="K1033"/>
      <c r="L1033"/>
      <c r="M1033"/>
    </row>
    <row r="1034" spans="9:13" x14ac:dyDescent="0.25">
      <c r="I1034"/>
      <c r="J1034"/>
      <c r="K1034"/>
      <c r="L1034"/>
      <c r="M1034"/>
    </row>
    <row r="1035" spans="9:13" x14ac:dyDescent="0.25">
      <c r="I1035"/>
      <c r="J1035"/>
      <c r="K1035"/>
      <c r="L1035"/>
      <c r="M1035"/>
    </row>
    <row r="1036" spans="9:13" x14ac:dyDescent="0.25">
      <c r="I1036"/>
      <c r="J1036"/>
      <c r="K1036"/>
      <c r="L1036"/>
      <c r="M1036"/>
    </row>
    <row r="1037" spans="9:13" x14ac:dyDescent="0.25">
      <c r="I1037"/>
      <c r="J1037"/>
      <c r="K1037"/>
      <c r="L1037"/>
      <c r="M1037"/>
    </row>
    <row r="1038" spans="9:13" x14ac:dyDescent="0.25">
      <c r="I1038"/>
      <c r="J1038"/>
      <c r="K1038"/>
      <c r="L1038"/>
      <c r="M1038"/>
    </row>
    <row r="1039" spans="9:13" x14ac:dyDescent="0.25">
      <c r="I1039"/>
      <c r="J1039"/>
      <c r="K1039"/>
      <c r="L1039"/>
      <c r="M1039"/>
    </row>
    <row r="1040" spans="9:13" x14ac:dyDescent="0.25">
      <c r="I1040"/>
      <c r="J1040"/>
      <c r="K1040"/>
      <c r="L1040"/>
      <c r="M1040"/>
    </row>
    <row r="1041" spans="9:13" x14ac:dyDescent="0.25">
      <c r="I1041"/>
      <c r="J1041"/>
      <c r="K1041"/>
      <c r="L1041"/>
      <c r="M1041"/>
    </row>
    <row r="1042" spans="9:13" x14ac:dyDescent="0.25">
      <c r="I1042"/>
      <c r="J1042"/>
      <c r="K1042"/>
      <c r="L1042"/>
      <c r="M1042"/>
    </row>
    <row r="1043" spans="9:13" x14ac:dyDescent="0.25">
      <c r="I1043"/>
      <c r="J1043"/>
      <c r="K1043"/>
      <c r="L1043"/>
      <c r="M1043"/>
    </row>
    <row r="1044" spans="9:13" x14ac:dyDescent="0.25">
      <c r="I1044"/>
      <c r="J1044"/>
      <c r="K1044"/>
      <c r="L1044"/>
      <c r="M1044"/>
    </row>
    <row r="1045" spans="9:13" x14ac:dyDescent="0.25">
      <c r="I1045"/>
      <c r="J1045"/>
      <c r="K1045"/>
      <c r="L1045"/>
      <c r="M1045"/>
    </row>
    <row r="1046" spans="9:13" x14ac:dyDescent="0.25">
      <c r="I1046"/>
      <c r="J1046"/>
      <c r="K1046"/>
      <c r="L1046"/>
      <c r="M1046"/>
    </row>
    <row r="1047" spans="9:13" x14ac:dyDescent="0.25">
      <c r="I1047"/>
      <c r="J1047"/>
      <c r="K1047"/>
      <c r="L1047"/>
      <c r="M1047"/>
    </row>
    <row r="1048" spans="9:13" x14ac:dyDescent="0.25">
      <c r="I1048"/>
      <c r="J1048"/>
      <c r="K1048"/>
      <c r="L1048"/>
      <c r="M1048"/>
    </row>
    <row r="1049" spans="9:13" x14ac:dyDescent="0.25">
      <c r="I1049"/>
      <c r="J1049"/>
      <c r="K1049"/>
      <c r="L1049"/>
      <c r="M1049"/>
    </row>
    <row r="1050" spans="9:13" x14ac:dyDescent="0.25">
      <c r="I1050"/>
      <c r="J1050"/>
      <c r="K1050"/>
      <c r="L1050"/>
      <c r="M1050"/>
    </row>
    <row r="1051" spans="9:13" x14ac:dyDescent="0.25">
      <c r="I1051"/>
      <c r="J1051"/>
      <c r="K1051"/>
      <c r="L1051"/>
      <c r="M1051"/>
    </row>
    <row r="1052" spans="9:13" x14ac:dyDescent="0.25">
      <c r="I1052"/>
      <c r="J1052"/>
      <c r="K1052"/>
      <c r="L1052"/>
      <c r="M1052"/>
    </row>
    <row r="1053" spans="9:13" x14ac:dyDescent="0.25">
      <c r="I1053"/>
      <c r="J1053"/>
      <c r="K1053"/>
      <c r="L1053"/>
      <c r="M1053"/>
    </row>
    <row r="1054" spans="9:13" x14ac:dyDescent="0.25">
      <c r="I1054"/>
      <c r="J1054"/>
      <c r="K1054"/>
      <c r="L1054"/>
      <c r="M1054"/>
    </row>
    <row r="1055" spans="9:13" x14ac:dyDescent="0.25">
      <c r="I1055"/>
      <c r="J1055"/>
      <c r="K1055"/>
      <c r="L1055"/>
      <c r="M1055"/>
    </row>
    <row r="1056" spans="9:13" x14ac:dyDescent="0.25">
      <c r="I1056"/>
      <c r="J1056"/>
      <c r="K1056"/>
      <c r="L1056"/>
      <c r="M1056"/>
    </row>
    <row r="1057" spans="9:13" x14ac:dyDescent="0.25">
      <c r="I1057"/>
      <c r="J1057"/>
      <c r="K1057"/>
      <c r="L1057"/>
      <c r="M1057"/>
    </row>
    <row r="1058" spans="9:13" x14ac:dyDescent="0.25">
      <c r="I1058"/>
      <c r="J1058"/>
      <c r="K1058"/>
      <c r="L1058"/>
      <c r="M1058"/>
    </row>
    <row r="1059" spans="9:13" x14ac:dyDescent="0.25">
      <c r="I1059"/>
      <c r="J1059"/>
      <c r="K1059"/>
      <c r="L1059"/>
      <c r="M1059"/>
    </row>
    <row r="1060" spans="9:13" x14ac:dyDescent="0.25">
      <c r="I1060"/>
      <c r="J1060"/>
      <c r="K1060"/>
      <c r="L1060"/>
      <c r="M1060"/>
    </row>
    <row r="1061" spans="9:13" x14ac:dyDescent="0.25">
      <c r="I1061"/>
      <c r="J1061"/>
      <c r="K1061"/>
      <c r="L1061"/>
      <c r="M1061"/>
    </row>
    <row r="1062" spans="9:13" x14ac:dyDescent="0.25">
      <c r="I1062"/>
      <c r="J1062"/>
      <c r="K1062"/>
      <c r="L1062"/>
      <c r="M1062"/>
    </row>
    <row r="1063" spans="9:13" x14ac:dyDescent="0.25">
      <c r="I1063"/>
      <c r="J1063"/>
      <c r="K1063"/>
      <c r="L1063"/>
      <c r="M1063"/>
    </row>
    <row r="1064" spans="9:13" x14ac:dyDescent="0.25">
      <c r="I1064"/>
      <c r="J1064"/>
      <c r="K1064"/>
      <c r="L1064"/>
      <c r="M1064"/>
    </row>
    <row r="1065" spans="9:13" x14ac:dyDescent="0.25">
      <c r="I1065"/>
      <c r="J1065"/>
      <c r="K1065"/>
      <c r="L1065"/>
      <c r="M1065"/>
    </row>
    <row r="1066" spans="9:13" x14ac:dyDescent="0.25">
      <c r="I1066"/>
      <c r="J1066"/>
      <c r="K1066"/>
      <c r="L1066"/>
      <c r="M1066"/>
    </row>
    <row r="1067" spans="9:13" x14ac:dyDescent="0.25">
      <c r="I1067"/>
      <c r="J1067"/>
      <c r="K1067"/>
      <c r="L1067"/>
      <c r="M1067"/>
    </row>
    <row r="1068" spans="9:13" x14ac:dyDescent="0.25">
      <c r="I1068"/>
      <c r="J1068"/>
      <c r="K1068"/>
      <c r="L1068"/>
      <c r="M1068"/>
    </row>
    <row r="1069" spans="9:13" x14ac:dyDescent="0.25">
      <c r="I1069"/>
      <c r="J1069"/>
      <c r="K1069"/>
      <c r="L1069"/>
      <c r="M1069"/>
    </row>
    <row r="1070" spans="9:13" x14ac:dyDescent="0.25">
      <c r="I1070"/>
      <c r="J1070"/>
      <c r="K1070"/>
      <c r="L1070"/>
      <c r="M1070"/>
    </row>
    <row r="1071" spans="9:13" x14ac:dyDescent="0.25">
      <c r="I1071"/>
      <c r="J1071"/>
      <c r="K1071"/>
      <c r="L1071"/>
      <c r="M1071"/>
    </row>
    <row r="1072" spans="9:13" x14ac:dyDescent="0.25">
      <c r="I1072"/>
      <c r="J1072"/>
      <c r="K1072"/>
      <c r="L1072"/>
      <c r="M1072"/>
    </row>
    <row r="1073" spans="9:13" x14ac:dyDescent="0.25">
      <c r="I1073"/>
      <c r="J1073"/>
      <c r="K1073"/>
      <c r="L1073"/>
      <c r="M1073"/>
    </row>
    <row r="1074" spans="9:13" x14ac:dyDescent="0.25">
      <c r="I1074"/>
      <c r="J1074"/>
      <c r="K1074"/>
      <c r="L1074"/>
      <c r="M1074"/>
    </row>
    <row r="1075" spans="9:13" x14ac:dyDescent="0.25">
      <c r="I1075"/>
      <c r="J1075"/>
      <c r="K1075"/>
      <c r="L1075"/>
      <c r="M1075"/>
    </row>
    <row r="1076" spans="9:13" x14ac:dyDescent="0.25">
      <c r="I1076"/>
      <c r="J1076"/>
      <c r="K1076"/>
      <c r="L1076"/>
      <c r="M1076"/>
    </row>
    <row r="1077" spans="9:13" x14ac:dyDescent="0.25">
      <c r="I1077"/>
      <c r="J1077"/>
      <c r="K1077"/>
      <c r="L1077"/>
      <c r="M1077"/>
    </row>
    <row r="1078" spans="9:13" x14ac:dyDescent="0.25">
      <c r="I1078"/>
      <c r="J1078"/>
      <c r="K1078"/>
      <c r="L1078"/>
      <c r="M1078"/>
    </row>
    <row r="1079" spans="9:13" x14ac:dyDescent="0.25">
      <c r="I1079"/>
      <c r="J1079"/>
      <c r="K1079"/>
      <c r="L1079"/>
      <c r="M1079"/>
    </row>
    <row r="1080" spans="9:13" x14ac:dyDescent="0.25">
      <c r="I1080"/>
      <c r="J1080"/>
      <c r="K1080"/>
      <c r="L1080"/>
      <c r="M1080"/>
    </row>
    <row r="1081" spans="9:13" x14ac:dyDescent="0.25">
      <c r="I1081"/>
      <c r="J1081"/>
      <c r="K1081"/>
      <c r="L1081"/>
      <c r="M1081"/>
    </row>
    <row r="1082" spans="9:13" x14ac:dyDescent="0.25">
      <c r="I1082"/>
      <c r="J1082"/>
      <c r="K1082"/>
      <c r="L1082"/>
      <c r="M1082"/>
    </row>
    <row r="1083" spans="9:13" x14ac:dyDescent="0.25">
      <c r="I1083"/>
      <c r="J1083"/>
      <c r="K1083"/>
      <c r="L1083"/>
      <c r="M1083"/>
    </row>
    <row r="1084" spans="9:13" x14ac:dyDescent="0.25">
      <c r="I1084"/>
      <c r="J1084"/>
      <c r="K1084"/>
      <c r="L1084"/>
      <c r="M1084"/>
    </row>
    <row r="1085" spans="9:13" x14ac:dyDescent="0.25">
      <c r="I1085"/>
      <c r="J1085"/>
      <c r="K1085"/>
      <c r="L1085"/>
      <c r="M1085"/>
    </row>
    <row r="1086" spans="9:13" x14ac:dyDescent="0.25">
      <c r="I1086"/>
      <c r="J1086"/>
      <c r="K1086"/>
      <c r="L1086"/>
      <c r="M1086"/>
    </row>
    <row r="1087" spans="9:13" x14ac:dyDescent="0.25">
      <c r="I1087"/>
      <c r="J1087"/>
      <c r="K1087"/>
      <c r="L1087"/>
      <c r="M1087"/>
    </row>
    <row r="1088" spans="9:13" x14ac:dyDescent="0.25">
      <c r="I1088"/>
      <c r="J1088"/>
      <c r="K1088"/>
      <c r="L1088"/>
      <c r="M1088"/>
    </row>
    <row r="1089" spans="9:13" x14ac:dyDescent="0.25">
      <c r="I1089"/>
      <c r="J1089"/>
      <c r="K1089"/>
      <c r="L1089"/>
      <c r="M1089"/>
    </row>
    <row r="1090" spans="9:13" x14ac:dyDescent="0.25">
      <c r="I1090"/>
      <c r="J1090"/>
      <c r="K1090"/>
      <c r="L1090"/>
      <c r="M1090"/>
    </row>
    <row r="1091" spans="9:13" x14ac:dyDescent="0.25">
      <c r="I1091"/>
      <c r="J1091"/>
      <c r="K1091"/>
      <c r="L1091"/>
      <c r="M1091"/>
    </row>
    <row r="1092" spans="9:13" x14ac:dyDescent="0.25">
      <c r="I1092"/>
      <c r="J1092"/>
      <c r="K1092"/>
      <c r="L1092"/>
      <c r="M1092"/>
    </row>
    <row r="1093" spans="9:13" x14ac:dyDescent="0.25">
      <c r="I1093"/>
      <c r="J1093"/>
      <c r="K1093"/>
      <c r="L1093"/>
      <c r="M1093"/>
    </row>
    <row r="1094" spans="9:13" x14ac:dyDescent="0.25">
      <c r="I1094"/>
      <c r="J1094"/>
      <c r="K1094"/>
      <c r="L1094"/>
      <c r="M1094"/>
    </row>
    <row r="1095" spans="9:13" x14ac:dyDescent="0.25">
      <c r="I1095"/>
      <c r="J1095"/>
      <c r="K1095"/>
      <c r="L1095"/>
      <c r="M1095"/>
    </row>
    <row r="1096" spans="9:13" x14ac:dyDescent="0.25">
      <c r="I1096"/>
      <c r="J1096"/>
      <c r="K1096"/>
      <c r="L1096"/>
      <c r="M1096"/>
    </row>
    <row r="1097" spans="9:13" x14ac:dyDescent="0.25">
      <c r="I1097"/>
      <c r="J1097"/>
      <c r="K1097"/>
      <c r="L1097"/>
      <c r="M1097"/>
    </row>
    <row r="1098" spans="9:13" x14ac:dyDescent="0.25">
      <c r="I1098"/>
      <c r="J1098"/>
      <c r="K1098"/>
      <c r="L1098"/>
      <c r="M1098"/>
    </row>
    <row r="1099" spans="9:13" x14ac:dyDescent="0.25">
      <c r="I1099"/>
      <c r="J1099"/>
      <c r="K1099"/>
      <c r="L1099"/>
      <c r="M1099"/>
    </row>
    <row r="1100" spans="9:13" x14ac:dyDescent="0.25">
      <c r="I1100"/>
      <c r="J1100"/>
      <c r="K1100"/>
      <c r="L1100"/>
      <c r="M1100"/>
    </row>
    <row r="1101" spans="9:13" x14ac:dyDescent="0.25">
      <c r="I1101"/>
      <c r="J1101"/>
      <c r="K1101"/>
      <c r="L1101"/>
      <c r="M1101"/>
    </row>
    <row r="1102" spans="9:13" x14ac:dyDescent="0.25">
      <c r="I1102"/>
      <c r="J1102"/>
      <c r="K1102"/>
      <c r="L1102"/>
      <c r="M1102"/>
    </row>
    <row r="1103" spans="9:13" x14ac:dyDescent="0.25">
      <c r="I1103"/>
      <c r="J1103"/>
      <c r="K1103"/>
      <c r="L1103"/>
      <c r="M1103"/>
    </row>
    <row r="1104" spans="9:13" x14ac:dyDescent="0.25">
      <c r="I1104"/>
      <c r="J1104"/>
      <c r="K1104"/>
      <c r="L1104"/>
      <c r="M1104"/>
    </row>
    <row r="1105" spans="9:13" x14ac:dyDescent="0.25">
      <c r="I1105"/>
      <c r="J1105"/>
      <c r="K1105"/>
      <c r="L1105"/>
      <c r="M1105"/>
    </row>
    <row r="1106" spans="9:13" x14ac:dyDescent="0.25">
      <c r="I1106"/>
      <c r="J1106"/>
      <c r="K1106"/>
      <c r="L1106"/>
      <c r="M1106"/>
    </row>
    <row r="1107" spans="9:13" x14ac:dyDescent="0.25">
      <c r="I1107"/>
      <c r="J1107"/>
      <c r="K1107"/>
      <c r="L1107"/>
      <c r="M1107"/>
    </row>
    <row r="1108" spans="9:13" x14ac:dyDescent="0.25">
      <c r="I1108"/>
      <c r="J1108"/>
      <c r="K1108"/>
      <c r="L1108"/>
      <c r="M1108"/>
    </row>
    <row r="1109" spans="9:13" x14ac:dyDescent="0.25">
      <c r="I1109"/>
      <c r="J1109"/>
      <c r="K1109"/>
      <c r="L1109"/>
      <c r="M1109"/>
    </row>
    <row r="1110" spans="9:13" x14ac:dyDescent="0.25">
      <c r="I1110"/>
      <c r="J1110"/>
      <c r="K1110"/>
      <c r="L1110"/>
      <c r="M1110"/>
    </row>
    <row r="1111" spans="9:13" x14ac:dyDescent="0.25">
      <c r="I1111"/>
      <c r="J1111"/>
      <c r="K1111"/>
      <c r="L1111"/>
      <c r="M1111"/>
    </row>
    <row r="1112" spans="9:13" x14ac:dyDescent="0.25">
      <c r="I1112"/>
      <c r="J1112"/>
      <c r="K1112"/>
      <c r="L1112"/>
      <c r="M1112"/>
    </row>
    <row r="1113" spans="9:13" x14ac:dyDescent="0.25">
      <c r="I1113"/>
      <c r="J1113"/>
      <c r="K1113"/>
      <c r="L1113"/>
      <c r="M1113"/>
    </row>
    <row r="1114" spans="9:13" x14ac:dyDescent="0.25">
      <c r="I1114"/>
      <c r="J1114"/>
      <c r="K1114"/>
      <c r="L1114"/>
      <c r="M1114"/>
    </row>
    <row r="1115" spans="9:13" x14ac:dyDescent="0.25">
      <c r="I1115"/>
      <c r="J1115"/>
      <c r="K1115"/>
      <c r="L1115"/>
      <c r="M1115"/>
    </row>
    <row r="1116" spans="9:13" x14ac:dyDescent="0.25">
      <c r="I1116"/>
      <c r="J1116"/>
      <c r="K1116"/>
      <c r="L1116"/>
      <c r="M1116"/>
    </row>
    <row r="1117" spans="9:13" x14ac:dyDescent="0.25">
      <c r="I1117"/>
      <c r="J1117"/>
      <c r="K1117"/>
      <c r="L1117"/>
      <c r="M1117"/>
    </row>
    <row r="1118" spans="9:13" x14ac:dyDescent="0.25">
      <c r="I1118"/>
      <c r="J1118"/>
      <c r="K1118"/>
      <c r="L1118"/>
      <c r="M1118"/>
    </row>
    <row r="1119" spans="9:13" x14ac:dyDescent="0.25">
      <c r="I1119"/>
      <c r="J1119"/>
      <c r="K1119"/>
      <c r="L1119"/>
      <c r="M1119"/>
    </row>
    <row r="1120" spans="9:13" x14ac:dyDescent="0.25">
      <c r="I1120"/>
      <c r="J1120"/>
      <c r="K1120"/>
      <c r="L1120"/>
      <c r="M1120"/>
    </row>
    <row r="1121" spans="9:13" x14ac:dyDescent="0.25">
      <c r="I1121"/>
      <c r="J1121"/>
      <c r="K1121"/>
      <c r="L1121"/>
      <c r="M1121"/>
    </row>
    <row r="1122" spans="9:13" x14ac:dyDescent="0.25">
      <c r="I1122"/>
      <c r="J1122"/>
      <c r="K1122"/>
      <c r="L1122"/>
      <c r="M1122"/>
    </row>
    <row r="1123" spans="9:13" x14ac:dyDescent="0.25">
      <c r="I1123"/>
      <c r="J1123"/>
      <c r="K1123"/>
      <c r="L1123"/>
      <c r="M1123"/>
    </row>
    <row r="1124" spans="9:13" x14ac:dyDescent="0.25">
      <c r="I1124"/>
      <c r="J1124"/>
      <c r="K1124"/>
      <c r="L1124"/>
      <c r="M1124"/>
    </row>
    <row r="1125" spans="9:13" x14ac:dyDescent="0.25">
      <c r="I1125"/>
      <c r="J1125"/>
      <c r="K1125"/>
      <c r="L1125"/>
      <c r="M1125"/>
    </row>
    <row r="1126" spans="9:13" x14ac:dyDescent="0.25">
      <c r="I1126"/>
      <c r="J1126"/>
      <c r="K1126"/>
      <c r="L1126"/>
      <c r="M1126"/>
    </row>
    <row r="1127" spans="9:13" x14ac:dyDescent="0.25">
      <c r="I1127"/>
      <c r="J1127"/>
      <c r="K1127"/>
      <c r="L1127"/>
      <c r="M1127"/>
    </row>
    <row r="1128" spans="9:13" x14ac:dyDescent="0.25">
      <c r="I1128"/>
      <c r="J1128"/>
      <c r="K1128"/>
      <c r="L1128"/>
      <c r="M1128"/>
    </row>
    <row r="1129" spans="9:13" x14ac:dyDescent="0.25">
      <c r="I1129"/>
      <c r="J1129"/>
      <c r="K1129"/>
      <c r="L1129"/>
      <c r="M1129"/>
    </row>
    <row r="1130" spans="9:13" x14ac:dyDescent="0.25">
      <c r="I1130"/>
      <c r="J1130"/>
      <c r="K1130"/>
      <c r="L1130"/>
      <c r="M1130"/>
    </row>
    <row r="1131" spans="9:13" x14ac:dyDescent="0.25">
      <c r="I1131"/>
      <c r="J1131"/>
      <c r="K1131"/>
      <c r="L1131"/>
      <c r="M1131"/>
    </row>
    <row r="1132" spans="9:13" x14ac:dyDescent="0.25">
      <c r="I1132"/>
      <c r="J1132"/>
      <c r="K1132"/>
      <c r="L1132"/>
      <c r="M1132"/>
    </row>
    <row r="1133" spans="9:13" x14ac:dyDescent="0.25">
      <c r="I1133"/>
      <c r="J1133"/>
      <c r="K1133"/>
      <c r="L1133"/>
      <c r="M1133"/>
    </row>
    <row r="1134" spans="9:13" x14ac:dyDescent="0.25">
      <c r="I1134"/>
      <c r="J1134"/>
      <c r="K1134"/>
      <c r="L1134"/>
      <c r="M1134"/>
    </row>
    <row r="1135" spans="9:13" x14ac:dyDescent="0.25">
      <c r="I1135"/>
      <c r="J1135"/>
      <c r="K1135"/>
      <c r="L1135"/>
      <c r="M1135"/>
    </row>
    <row r="1136" spans="9:13" x14ac:dyDescent="0.25">
      <c r="I1136"/>
      <c r="J1136"/>
      <c r="K1136"/>
      <c r="L1136"/>
      <c r="M1136"/>
    </row>
    <row r="1137" spans="9:13" x14ac:dyDescent="0.25">
      <c r="I1137"/>
      <c r="J1137"/>
      <c r="K1137"/>
      <c r="L1137"/>
      <c r="M1137"/>
    </row>
    <row r="1138" spans="9:13" x14ac:dyDescent="0.25">
      <c r="I1138"/>
      <c r="J1138"/>
      <c r="K1138"/>
      <c r="L1138"/>
      <c r="M1138"/>
    </row>
    <row r="1139" spans="9:13" x14ac:dyDescent="0.25">
      <c r="I1139"/>
      <c r="J1139"/>
      <c r="K1139"/>
      <c r="L1139"/>
      <c r="M1139"/>
    </row>
    <row r="1140" spans="9:13" x14ac:dyDescent="0.25">
      <c r="I1140"/>
      <c r="J1140"/>
      <c r="K1140"/>
      <c r="L1140"/>
      <c r="M1140"/>
    </row>
    <row r="1141" spans="9:13" x14ac:dyDescent="0.25">
      <c r="I1141"/>
      <c r="J1141"/>
      <c r="K1141"/>
      <c r="L1141"/>
      <c r="M1141"/>
    </row>
    <row r="1142" spans="9:13" x14ac:dyDescent="0.25">
      <c r="I1142"/>
      <c r="J1142"/>
      <c r="K1142"/>
      <c r="L1142"/>
      <c r="M1142"/>
    </row>
    <row r="1143" spans="9:13" x14ac:dyDescent="0.25">
      <c r="I1143"/>
      <c r="J1143"/>
      <c r="K1143"/>
      <c r="L1143"/>
      <c r="M1143"/>
    </row>
    <row r="1144" spans="9:13" x14ac:dyDescent="0.25">
      <c r="I1144"/>
      <c r="J1144"/>
      <c r="K1144"/>
      <c r="L1144"/>
      <c r="M1144"/>
    </row>
    <row r="1145" spans="9:13" x14ac:dyDescent="0.25">
      <c r="I1145"/>
      <c r="J1145"/>
      <c r="K1145"/>
      <c r="L1145"/>
      <c r="M1145"/>
    </row>
    <row r="1146" spans="9:13" x14ac:dyDescent="0.25">
      <c r="I1146"/>
      <c r="J1146"/>
      <c r="K1146"/>
      <c r="L1146"/>
      <c r="M1146"/>
    </row>
    <row r="1147" spans="9:13" x14ac:dyDescent="0.25">
      <c r="I1147"/>
      <c r="J1147"/>
      <c r="K1147"/>
      <c r="L1147"/>
      <c r="M1147"/>
    </row>
    <row r="1148" spans="9:13" x14ac:dyDescent="0.25">
      <c r="I1148"/>
      <c r="J1148"/>
      <c r="K1148"/>
      <c r="L1148"/>
      <c r="M1148"/>
    </row>
    <row r="1149" spans="9:13" x14ac:dyDescent="0.25">
      <c r="I1149"/>
      <c r="J1149"/>
      <c r="K1149"/>
      <c r="L1149"/>
      <c r="M1149"/>
    </row>
    <row r="1150" spans="9:13" x14ac:dyDescent="0.25">
      <c r="I1150"/>
      <c r="J1150"/>
      <c r="K1150"/>
      <c r="L1150"/>
      <c r="M1150"/>
    </row>
    <row r="1151" spans="9:13" x14ac:dyDescent="0.25">
      <c r="I1151"/>
      <c r="J1151"/>
      <c r="K1151"/>
      <c r="L1151"/>
      <c r="M1151"/>
    </row>
    <row r="1152" spans="9:13" x14ac:dyDescent="0.25">
      <c r="I1152"/>
      <c r="J1152"/>
      <c r="K1152"/>
      <c r="L1152"/>
      <c r="M1152"/>
    </row>
    <row r="1153" spans="9:13" x14ac:dyDescent="0.25">
      <c r="I1153"/>
      <c r="J1153"/>
      <c r="K1153"/>
      <c r="L1153"/>
      <c r="M1153"/>
    </row>
    <row r="1154" spans="9:13" x14ac:dyDescent="0.25">
      <c r="I1154"/>
      <c r="J1154"/>
      <c r="K1154"/>
      <c r="L1154"/>
      <c r="M1154"/>
    </row>
    <row r="1155" spans="9:13" x14ac:dyDescent="0.25">
      <c r="I1155"/>
      <c r="J1155"/>
      <c r="K1155"/>
      <c r="L1155"/>
      <c r="M1155"/>
    </row>
    <row r="1156" spans="9:13" x14ac:dyDescent="0.25">
      <c r="I1156"/>
      <c r="J1156"/>
      <c r="K1156"/>
      <c r="L1156"/>
      <c r="M1156"/>
    </row>
    <row r="1157" spans="9:13" x14ac:dyDescent="0.25">
      <c r="I1157"/>
      <c r="J1157"/>
      <c r="K1157"/>
      <c r="L1157"/>
      <c r="M1157"/>
    </row>
    <row r="1158" spans="9:13" x14ac:dyDescent="0.25">
      <c r="I1158"/>
      <c r="J1158"/>
      <c r="K1158"/>
      <c r="L1158"/>
      <c r="M1158"/>
    </row>
    <row r="1159" spans="9:13" x14ac:dyDescent="0.25">
      <c r="I1159"/>
      <c r="J1159"/>
      <c r="K1159"/>
      <c r="L1159"/>
      <c r="M1159"/>
    </row>
    <row r="1160" spans="9:13" x14ac:dyDescent="0.25">
      <c r="I1160"/>
      <c r="J1160"/>
      <c r="K1160"/>
      <c r="L1160"/>
      <c r="M1160"/>
    </row>
    <row r="1161" spans="9:13" x14ac:dyDescent="0.25">
      <c r="I1161"/>
      <c r="J1161"/>
      <c r="K1161"/>
      <c r="L1161"/>
      <c r="M1161"/>
    </row>
    <row r="1162" spans="9:13" x14ac:dyDescent="0.25">
      <c r="I1162"/>
      <c r="J1162"/>
      <c r="K1162"/>
      <c r="L1162"/>
      <c r="M1162"/>
    </row>
    <row r="1163" spans="9:13" x14ac:dyDescent="0.25">
      <c r="I1163"/>
      <c r="J1163"/>
      <c r="K1163"/>
      <c r="L1163"/>
      <c r="M1163"/>
    </row>
    <row r="1164" spans="9:13" x14ac:dyDescent="0.25">
      <c r="I1164"/>
      <c r="J1164"/>
      <c r="K1164"/>
      <c r="L1164"/>
      <c r="M1164"/>
    </row>
    <row r="1165" spans="9:13" x14ac:dyDescent="0.25">
      <c r="I1165"/>
      <c r="J1165"/>
      <c r="K1165"/>
      <c r="L1165"/>
      <c r="M1165"/>
    </row>
    <row r="1166" spans="9:13" x14ac:dyDescent="0.25">
      <c r="I1166"/>
      <c r="J1166"/>
      <c r="K1166"/>
      <c r="L1166"/>
      <c r="M1166"/>
    </row>
    <row r="1167" spans="9:13" x14ac:dyDescent="0.25">
      <c r="I1167"/>
      <c r="J1167"/>
      <c r="K1167"/>
      <c r="L1167"/>
      <c r="M1167"/>
    </row>
    <row r="1168" spans="9:13" x14ac:dyDescent="0.25">
      <c r="I1168"/>
      <c r="J1168"/>
      <c r="K1168"/>
      <c r="L1168"/>
      <c r="M1168"/>
    </row>
    <row r="1169" spans="9:13" x14ac:dyDescent="0.25">
      <c r="I1169"/>
      <c r="J1169"/>
      <c r="K1169"/>
      <c r="L1169"/>
      <c r="M1169"/>
    </row>
    <row r="1170" spans="9:13" x14ac:dyDescent="0.25">
      <c r="I1170"/>
      <c r="J1170"/>
      <c r="K1170"/>
      <c r="L1170"/>
      <c r="M1170"/>
    </row>
    <row r="1171" spans="9:13" x14ac:dyDescent="0.25">
      <c r="I1171"/>
      <c r="J1171"/>
      <c r="K1171"/>
      <c r="L1171"/>
      <c r="M1171"/>
    </row>
    <row r="1172" spans="9:13" x14ac:dyDescent="0.25">
      <c r="I1172"/>
      <c r="J1172"/>
      <c r="K1172"/>
      <c r="L1172"/>
      <c r="M1172"/>
    </row>
    <row r="1173" spans="9:13" x14ac:dyDescent="0.25">
      <c r="I1173"/>
      <c r="J1173"/>
      <c r="K1173"/>
      <c r="L1173"/>
      <c r="M1173"/>
    </row>
    <row r="1174" spans="9:13" x14ac:dyDescent="0.25">
      <c r="I1174"/>
      <c r="J1174"/>
      <c r="K1174"/>
      <c r="L1174"/>
      <c r="M1174"/>
    </row>
    <row r="1175" spans="9:13" x14ac:dyDescent="0.25">
      <c r="I1175"/>
      <c r="J1175"/>
      <c r="K1175"/>
      <c r="L1175"/>
      <c r="M1175"/>
    </row>
    <row r="1176" spans="9:13" x14ac:dyDescent="0.25">
      <c r="I1176"/>
      <c r="J1176"/>
      <c r="K1176"/>
      <c r="L1176"/>
      <c r="M1176"/>
    </row>
    <row r="1177" spans="9:13" x14ac:dyDescent="0.25">
      <c r="I1177"/>
      <c r="J1177"/>
      <c r="K1177"/>
      <c r="L1177"/>
      <c r="M1177"/>
    </row>
    <row r="1178" spans="9:13" x14ac:dyDescent="0.25">
      <c r="I1178"/>
      <c r="J1178"/>
      <c r="K1178"/>
      <c r="L1178"/>
      <c r="M1178"/>
    </row>
    <row r="1179" spans="9:13" x14ac:dyDescent="0.25">
      <c r="I1179"/>
      <c r="J1179"/>
      <c r="K1179"/>
      <c r="L1179"/>
      <c r="M1179"/>
    </row>
    <row r="1180" spans="9:13" x14ac:dyDescent="0.25">
      <c r="I1180"/>
      <c r="J1180"/>
      <c r="K1180"/>
      <c r="L1180"/>
      <c r="M1180"/>
    </row>
    <row r="1181" spans="9:13" x14ac:dyDescent="0.25">
      <c r="I1181"/>
      <c r="J1181"/>
      <c r="K1181"/>
      <c r="L1181"/>
      <c r="M1181"/>
    </row>
    <row r="1182" spans="9:13" x14ac:dyDescent="0.25">
      <c r="I1182"/>
      <c r="J1182"/>
      <c r="K1182"/>
      <c r="L1182"/>
      <c r="M1182"/>
    </row>
    <row r="1183" spans="9:13" x14ac:dyDescent="0.25">
      <c r="I1183"/>
      <c r="J1183"/>
      <c r="K1183"/>
      <c r="L1183"/>
      <c r="M1183"/>
    </row>
    <row r="1184" spans="9:13" x14ac:dyDescent="0.25">
      <c r="I1184"/>
      <c r="J1184"/>
      <c r="K1184"/>
      <c r="L1184"/>
      <c r="M1184"/>
    </row>
    <row r="1185" spans="9:13" x14ac:dyDescent="0.25">
      <c r="I1185"/>
      <c r="J1185"/>
      <c r="K1185"/>
      <c r="L1185"/>
      <c r="M1185"/>
    </row>
    <row r="1186" spans="9:13" x14ac:dyDescent="0.25">
      <c r="I1186"/>
      <c r="J1186"/>
      <c r="K1186"/>
      <c r="L1186"/>
      <c r="M1186"/>
    </row>
    <row r="1187" spans="9:13" x14ac:dyDescent="0.25">
      <c r="I1187"/>
      <c r="J1187"/>
      <c r="K1187"/>
      <c r="L1187"/>
      <c r="M1187"/>
    </row>
    <row r="1188" spans="9:13" x14ac:dyDescent="0.25">
      <c r="I1188"/>
      <c r="J1188"/>
      <c r="K1188"/>
      <c r="L1188"/>
      <c r="M1188"/>
    </row>
    <row r="1189" spans="9:13" x14ac:dyDescent="0.25">
      <c r="I1189"/>
      <c r="J1189"/>
      <c r="K1189"/>
      <c r="L1189"/>
      <c r="M1189"/>
    </row>
    <row r="1190" spans="9:13" x14ac:dyDescent="0.25">
      <c r="I1190"/>
      <c r="J1190"/>
      <c r="K1190"/>
      <c r="L1190"/>
      <c r="M1190"/>
    </row>
    <row r="1191" spans="9:13" x14ac:dyDescent="0.25">
      <c r="I1191"/>
      <c r="J1191"/>
      <c r="K1191"/>
      <c r="L1191"/>
      <c r="M1191"/>
    </row>
    <row r="1192" spans="9:13" x14ac:dyDescent="0.25">
      <c r="I1192"/>
      <c r="J1192"/>
      <c r="K1192"/>
      <c r="L1192"/>
      <c r="M1192"/>
    </row>
    <row r="1193" spans="9:13" x14ac:dyDescent="0.25">
      <c r="I1193"/>
      <c r="J1193"/>
      <c r="K1193"/>
      <c r="L1193"/>
      <c r="M1193"/>
    </row>
    <row r="1194" spans="9:13" x14ac:dyDescent="0.25">
      <c r="I1194"/>
      <c r="J1194"/>
      <c r="K1194"/>
      <c r="L1194"/>
      <c r="M1194"/>
    </row>
    <row r="1195" spans="9:13" x14ac:dyDescent="0.25">
      <c r="I1195"/>
      <c r="J1195"/>
      <c r="K1195"/>
      <c r="L1195"/>
      <c r="M1195"/>
    </row>
    <row r="1196" spans="9:13" x14ac:dyDescent="0.25">
      <c r="I1196"/>
      <c r="J1196"/>
      <c r="K1196"/>
      <c r="L1196"/>
      <c r="M1196"/>
    </row>
    <row r="1197" spans="9:13" x14ac:dyDescent="0.25">
      <c r="I1197"/>
      <c r="J1197"/>
      <c r="K1197"/>
      <c r="L1197"/>
      <c r="M1197"/>
    </row>
    <row r="1198" spans="9:13" x14ac:dyDescent="0.25">
      <c r="I1198"/>
      <c r="J1198"/>
      <c r="K1198"/>
      <c r="L1198"/>
      <c r="M1198"/>
    </row>
    <row r="1199" spans="9:13" x14ac:dyDescent="0.25">
      <c r="I1199"/>
      <c r="J1199"/>
      <c r="K1199"/>
      <c r="L1199"/>
      <c r="M1199"/>
    </row>
    <row r="1200" spans="9:13" x14ac:dyDescent="0.25">
      <c r="I1200"/>
      <c r="J1200"/>
      <c r="K1200"/>
      <c r="L1200"/>
      <c r="M1200"/>
    </row>
    <row r="1201" spans="9:13" x14ac:dyDescent="0.25">
      <c r="I1201"/>
      <c r="J1201"/>
      <c r="K1201"/>
      <c r="L1201"/>
      <c r="M1201"/>
    </row>
    <row r="1202" spans="9:13" x14ac:dyDescent="0.25">
      <c r="I1202"/>
      <c r="J1202"/>
      <c r="K1202"/>
      <c r="L1202"/>
      <c r="M1202"/>
    </row>
    <row r="1203" spans="9:13" x14ac:dyDescent="0.25">
      <c r="I1203"/>
      <c r="J1203"/>
      <c r="K1203"/>
      <c r="L1203"/>
      <c r="M1203"/>
    </row>
    <row r="1204" spans="9:13" x14ac:dyDescent="0.25">
      <c r="I1204"/>
      <c r="J1204"/>
      <c r="K1204"/>
      <c r="L1204"/>
      <c r="M1204"/>
    </row>
    <row r="1205" spans="9:13" x14ac:dyDescent="0.25">
      <c r="I1205"/>
      <c r="J1205"/>
      <c r="K1205"/>
      <c r="L1205"/>
      <c r="M1205"/>
    </row>
    <row r="1206" spans="9:13" x14ac:dyDescent="0.25">
      <c r="I1206"/>
      <c r="J1206"/>
      <c r="K1206"/>
      <c r="L1206"/>
      <c r="M1206"/>
    </row>
    <row r="1207" spans="9:13" x14ac:dyDescent="0.25">
      <c r="I1207"/>
      <c r="J1207"/>
      <c r="K1207"/>
      <c r="L1207"/>
      <c r="M1207"/>
    </row>
    <row r="1208" spans="9:13" x14ac:dyDescent="0.25">
      <c r="I1208"/>
      <c r="J1208"/>
      <c r="K1208"/>
      <c r="L1208"/>
      <c r="M1208"/>
    </row>
    <row r="1209" spans="9:13" x14ac:dyDescent="0.25">
      <c r="I1209"/>
      <c r="J1209"/>
      <c r="K1209"/>
      <c r="L1209"/>
      <c r="M1209"/>
    </row>
    <row r="1210" spans="9:13" x14ac:dyDescent="0.25">
      <c r="I1210"/>
      <c r="J1210"/>
      <c r="K1210"/>
      <c r="L1210"/>
      <c r="M1210"/>
    </row>
    <row r="1211" spans="9:13" x14ac:dyDescent="0.25">
      <c r="I1211"/>
      <c r="J1211"/>
      <c r="K1211"/>
      <c r="L1211"/>
      <c r="M1211"/>
    </row>
    <row r="1212" spans="9:13" x14ac:dyDescent="0.25">
      <c r="I1212"/>
      <c r="J1212"/>
      <c r="K1212"/>
      <c r="L1212"/>
      <c r="M1212"/>
    </row>
    <row r="1213" spans="9:13" x14ac:dyDescent="0.25">
      <c r="I1213"/>
      <c r="J1213"/>
      <c r="K1213"/>
      <c r="L1213"/>
      <c r="M1213"/>
    </row>
    <row r="1214" spans="9:13" x14ac:dyDescent="0.25">
      <c r="I1214"/>
      <c r="J1214"/>
      <c r="K1214"/>
      <c r="L1214"/>
      <c r="M1214"/>
    </row>
    <row r="1215" spans="9:13" x14ac:dyDescent="0.25">
      <c r="I1215"/>
      <c r="J1215"/>
      <c r="K1215"/>
      <c r="L1215"/>
      <c r="M1215"/>
    </row>
    <row r="1216" spans="9:13" x14ac:dyDescent="0.25">
      <c r="I1216"/>
      <c r="J1216"/>
      <c r="K1216"/>
      <c r="L1216"/>
      <c r="M1216"/>
    </row>
    <row r="1217" spans="9:13" x14ac:dyDescent="0.25">
      <c r="I1217"/>
      <c r="J1217"/>
      <c r="K1217"/>
      <c r="L1217"/>
      <c r="M1217"/>
    </row>
    <row r="1218" spans="9:13" x14ac:dyDescent="0.25">
      <c r="I1218"/>
      <c r="J1218"/>
      <c r="K1218"/>
      <c r="L1218"/>
      <c r="M1218"/>
    </row>
    <row r="1219" spans="9:13" x14ac:dyDescent="0.25">
      <c r="I1219"/>
      <c r="J1219"/>
      <c r="K1219"/>
      <c r="L1219"/>
      <c r="M1219"/>
    </row>
    <row r="1220" spans="9:13" x14ac:dyDescent="0.25">
      <c r="I1220"/>
      <c r="J1220"/>
      <c r="K1220"/>
      <c r="L1220"/>
      <c r="M1220"/>
    </row>
    <row r="1221" spans="9:13" x14ac:dyDescent="0.25">
      <c r="I1221"/>
      <c r="J1221"/>
      <c r="K1221"/>
      <c r="L1221"/>
      <c r="M1221"/>
    </row>
    <row r="1222" spans="9:13" x14ac:dyDescent="0.25">
      <c r="I1222"/>
      <c r="J1222"/>
      <c r="K1222"/>
      <c r="L1222"/>
      <c r="M1222"/>
    </row>
    <row r="1223" spans="9:13" x14ac:dyDescent="0.25">
      <c r="I1223"/>
      <c r="J1223"/>
      <c r="K1223"/>
      <c r="L1223"/>
      <c r="M1223"/>
    </row>
    <row r="1224" spans="9:13" x14ac:dyDescent="0.25">
      <c r="I1224"/>
      <c r="J1224"/>
      <c r="K1224"/>
      <c r="L1224"/>
      <c r="M1224"/>
    </row>
    <row r="1225" spans="9:13" x14ac:dyDescent="0.25">
      <c r="I1225"/>
      <c r="J1225"/>
      <c r="K1225"/>
      <c r="L1225"/>
      <c r="M1225"/>
    </row>
    <row r="1226" spans="9:13" x14ac:dyDescent="0.25">
      <c r="I1226"/>
      <c r="J1226"/>
      <c r="K1226"/>
      <c r="L1226"/>
      <c r="M1226"/>
    </row>
    <row r="1227" spans="9:13" x14ac:dyDescent="0.25">
      <c r="I1227"/>
      <c r="J1227"/>
      <c r="K1227"/>
      <c r="L1227"/>
      <c r="M1227"/>
    </row>
    <row r="1228" spans="9:13" x14ac:dyDescent="0.25">
      <c r="I1228"/>
      <c r="J1228"/>
      <c r="K1228"/>
      <c r="L1228"/>
      <c r="M1228"/>
    </row>
    <row r="1229" spans="9:13" x14ac:dyDescent="0.25">
      <c r="I1229"/>
      <c r="J1229"/>
      <c r="K1229"/>
      <c r="L1229"/>
      <c r="M1229"/>
    </row>
    <row r="1230" spans="9:13" x14ac:dyDescent="0.25">
      <c r="I1230"/>
      <c r="J1230"/>
      <c r="K1230"/>
      <c r="L1230"/>
      <c r="M1230"/>
    </row>
    <row r="1231" spans="9:13" x14ac:dyDescent="0.25">
      <c r="I1231"/>
      <c r="J1231"/>
      <c r="K1231"/>
      <c r="L1231"/>
      <c r="M1231"/>
    </row>
    <row r="1232" spans="9:13" x14ac:dyDescent="0.25">
      <c r="I1232"/>
      <c r="J1232"/>
      <c r="K1232"/>
      <c r="L1232"/>
      <c r="M1232"/>
    </row>
    <row r="1233" spans="9:13" x14ac:dyDescent="0.25">
      <c r="I1233"/>
      <c r="J1233"/>
      <c r="K1233"/>
      <c r="L1233"/>
      <c r="M1233"/>
    </row>
    <row r="1234" spans="9:13" x14ac:dyDescent="0.25">
      <c r="I1234"/>
      <c r="J1234"/>
      <c r="K1234"/>
      <c r="L1234"/>
      <c r="M1234"/>
    </row>
    <row r="1235" spans="9:13" x14ac:dyDescent="0.25">
      <c r="I1235"/>
      <c r="J1235"/>
      <c r="K1235"/>
      <c r="L1235"/>
      <c r="M1235"/>
    </row>
    <row r="1236" spans="9:13" x14ac:dyDescent="0.25">
      <c r="I1236"/>
      <c r="J1236"/>
      <c r="K1236"/>
      <c r="L1236"/>
      <c r="M1236"/>
    </row>
    <row r="1237" spans="9:13" x14ac:dyDescent="0.25">
      <c r="I1237"/>
      <c r="J1237"/>
      <c r="K1237"/>
      <c r="L1237"/>
      <c r="M1237"/>
    </row>
    <row r="1238" spans="9:13" x14ac:dyDescent="0.25">
      <c r="I1238"/>
      <c r="J1238"/>
      <c r="K1238"/>
      <c r="L1238"/>
      <c r="M1238"/>
    </row>
    <row r="1239" spans="9:13" x14ac:dyDescent="0.25">
      <c r="I1239"/>
      <c r="J1239"/>
      <c r="K1239"/>
      <c r="L1239"/>
      <c r="M1239"/>
    </row>
    <row r="1240" spans="9:13" x14ac:dyDescent="0.25">
      <c r="I1240"/>
      <c r="J1240"/>
      <c r="K1240"/>
      <c r="L1240"/>
      <c r="M1240"/>
    </row>
    <row r="1241" spans="9:13" x14ac:dyDescent="0.25">
      <c r="I1241"/>
      <c r="J1241"/>
      <c r="K1241"/>
      <c r="L1241"/>
      <c r="M1241"/>
    </row>
    <row r="1242" spans="9:13" x14ac:dyDescent="0.25">
      <c r="I1242"/>
      <c r="J1242"/>
      <c r="K1242"/>
      <c r="L1242"/>
      <c r="M1242"/>
    </row>
    <row r="1243" spans="9:13" x14ac:dyDescent="0.25">
      <c r="I1243"/>
      <c r="J1243"/>
      <c r="K1243"/>
      <c r="L1243"/>
      <c r="M1243"/>
    </row>
    <row r="1244" spans="9:13" x14ac:dyDescent="0.25">
      <c r="I1244"/>
      <c r="J1244"/>
      <c r="K1244"/>
      <c r="L1244"/>
      <c r="M1244"/>
    </row>
    <row r="1245" spans="9:13" x14ac:dyDescent="0.25">
      <c r="I1245"/>
      <c r="J1245"/>
      <c r="K1245"/>
      <c r="L1245"/>
      <c r="M1245"/>
    </row>
    <row r="1246" spans="9:13" x14ac:dyDescent="0.25">
      <c r="I1246"/>
      <c r="J1246"/>
      <c r="K1246"/>
      <c r="L1246"/>
      <c r="M1246"/>
    </row>
    <row r="1247" spans="9:13" x14ac:dyDescent="0.25">
      <c r="I1247"/>
      <c r="J1247"/>
      <c r="K1247"/>
      <c r="L1247"/>
      <c r="M1247"/>
    </row>
    <row r="1248" spans="9:13" x14ac:dyDescent="0.25">
      <c r="I1248"/>
      <c r="J1248"/>
      <c r="K1248"/>
      <c r="L1248"/>
      <c r="M1248"/>
    </row>
    <row r="1249" spans="9:13" x14ac:dyDescent="0.25">
      <c r="I1249"/>
      <c r="J1249"/>
      <c r="K1249"/>
      <c r="L1249"/>
      <c r="M1249"/>
    </row>
    <row r="1250" spans="9:13" x14ac:dyDescent="0.25">
      <c r="I1250"/>
      <c r="J1250"/>
      <c r="K1250"/>
      <c r="L1250"/>
      <c r="M1250"/>
    </row>
    <row r="1251" spans="9:13" x14ac:dyDescent="0.25">
      <c r="I1251"/>
      <c r="J1251"/>
      <c r="K1251"/>
      <c r="L1251"/>
      <c r="M1251"/>
    </row>
    <row r="1252" spans="9:13" x14ac:dyDescent="0.25">
      <c r="I1252"/>
      <c r="J1252"/>
      <c r="K1252"/>
      <c r="L1252"/>
      <c r="M1252"/>
    </row>
    <row r="1253" spans="9:13" x14ac:dyDescent="0.25">
      <c r="I1253"/>
      <c r="J1253"/>
      <c r="K1253"/>
      <c r="L1253"/>
      <c r="M1253"/>
    </row>
    <row r="1254" spans="9:13" x14ac:dyDescent="0.25">
      <c r="I1254"/>
      <c r="J1254"/>
      <c r="K1254"/>
      <c r="L1254"/>
      <c r="M1254"/>
    </row>
    <row r="1255" spans="9:13" x14ac:dyDescent="0.25">
      <c r="I1255"/>
      <c r="J1255"/>
      <c r="K1255"/>
      <c r="L1255"/>
      <c r="M1255"/>
    </row>
    <row r="1256" spans="9:13" x14ac:dyDescent="0.25">
      <c r="I1256"/>
      <c r="J1256"/>
      <c r="K1256"/>
      <c r="L1256"/>
      <c r="M1256"/>
    </row>
    <row r="1257" spans="9:13" x14ac:dyDescent="0.25">
      <c r="I1257"/>
      <c r="J1257"/>
      <c r="K1257"/>
      <c r="L1257"/>
      <c r="M1257"/>
    </row>
    <row r="1258" spans="9:13" x14ac:dyDescent="0.25">
      <c r="I1258"/>
      <c r="J1258"/>
      <c r="K1258"/>
      <c r="L1258"/>
      <c r="M1258"/>
    </row>
    <row r="1259" spans="9:13" x14ac:dyDescent="0.25">
      <c r="I1259"/>
      <c r="J1259"/>
      <c r="K1259"/>
      <c r="L1259"/>
      <c r="M1259"/>
    </row>
    <row r="1260" spans="9:13" x14ac:dyDescent="0.25">
      <c r="I1260"/>
      <c r="J1260"/>
      <c r="K1260"/>
      <c r="L1260"/>
      <c r="M1260"/>
    </row>
    <row r="1261" spans="9:13" x14ac:dyDescent="0.25">
      <c r="I1261"/>
      <c r="J1261"/>
      <c r="K1261"/>
      <c r="L1261"/>
      <c r="M1261"/>
    </row>
    <row r="1262" spans="9:13" x14ac:dyDescent="0.25">
      <c r="I1262"/>
      <c r="J1262"/>
      <c r="K1262"/>
      <c r="L1262"/>
      <c r="M1262"/>
    </row>
    <row r="1263" spans="9:13" x14ac:dyDescent="0.25">
      <c r="I1263"/>
      <c r="J1263"/>
      <c r="K1263"/>
      <c r="L1263"/>
      <c r="M1263"/>
    </row>
    <row r="1264" spans="9:13" x14ac:dyDescent="0.25">
      <c r="I1264"/>
      <c r="J1264"/>
      <c r="K1264"/>
      <c r="L1264"/>
      <c r="M1264"/>
    </row>
    <row r="1265" spans="9:13" x14ac:dyDescent="0.25">
      <c r="I1265"/>
      <c r="J1265"/>
      <c r="K1265"/>
      <c r="L1265"/>
      <c r="M1265"/>
    </row>
    <row r="1266" spans="9:13" x14ac:dyDescent="0.25">
      <c r="I1266"/>
      <c r="J1266"/>
      <c r="K1266"/>
      <c r="L1266"/>
      <c r="M1266"/>
    </row>
    <row r="1267" spans="9:13" x14ac:dyDescent="0.25">
      <c r="I1267"/>
      <c r="J1267"/>
      <c r="K1267"/>
      <c r="L1267"/>
      <c r="M1267"/>
    </row>
    <row r="1268" spans="9:13" x14ac:dyDescent="0.25">
      <c r="I1268"/>
      <c r="J1268"/>
      <c r="K1268"/>
      <c r="L1268"/>
      <c r="M1268"/>
    </row>
    <row r="1269" spans="9:13" x14ac:dyDescent="0.25">
      <c r="I1269"/>
      <c r="J1269"/>
      <c r="K1269"/>
      <c r="L1269"/>
      <c r="M1269"/>
    </row>
    <row r="1270" spans="9:13" x14ac:dyDescent="0.25">
      <c r="I1270"/>
      <c r="J1270"/>
      <c r="K1270"/>
      <c r="L1270"/>
      <c r="M1270"/>
    </row>
    <row r="1271" spans="9:13" x14ac:dyDescent="0.25">
      <c r="I1271"/>
      <c r="J1271"/>
      <c r="K1271"/>
      <c r="L1271"/>
      <c r="M1271"/>
    </row>
    <row r="1272" spans="9:13" x14ac:dyDescent="0.25">
      <c r="I1272"/>
      <c r="J1272"/>
      <c r="K1272"/>
      <c r="L1272"/>
      <c r="M1272"/>
    </row>
    <row r="1273" spans="9:13" x14ac:dyDescent="0.25">
      <c r="I1273"/>
      <c r="J1273"/>
      <c r="K1273"/>
      <c r="L1273"/>
      <c r="M1273"/>
    </row>
    <row r="1274" spans="9:13" x14ac:dyDescent="0.25">
      <c r="I1274"/>
      <c r="J1274"/>
      <c r="K1274"/>
      <c r="L1274"/>
      <c r="M1274"/>
    </row>
    <row r="1275" spans="9:13" x14ac:dyDescent="0.25">
      <c r="I1275"/>
      <c r="J1275"/>
      <c r="K1275"/>
      <c r="L1275"/>
      <c r="M1275"/>
    </row>
    <row r="1276" spans="9:13" x14ac:dyDescent="0.25">
      <c r="I1276"/>
      <c r="J1276"/>
      <c r="K1276"/>
      <c r="L1276"/>
      <c r="M1276"/>
    </row>
    <row r="1277" spans="9:13" x14ac:dyDescent="0.25">
      <c r="I1277"/>
      <c r="J1277"/>
      <c r="K1277"/>
      <c r="L1277"/>
      <c r="M1277"/>
    </row>
    <row r="1278" spans="9:13" x14ac:dyDescent="0.25">
      <c r="I1278"/>
      <c r="J1278"/>
      <c r="K1278"/>
      <c r="L1278"/>
      <c r="M1278"/>
    </row>
    <row r="1279" spans="9:13" x14ac:dyDescent="0.25">
      <c r="I1279"/>
      <c r="J1279"/>
      <c r="K1279"/>
      <c r="L1279"/>
      <c r="M1279"/>
    </row>
    <row r="1280" spans="9:13" x14ac:dyDescent="0.25">
      <c r="I1280"/>
      <c r="J1280"/>
      <c r="K1280"/>
      <c r="L1280"/>
      <c r="M1280"/>
    </row>
    <row r="1281" spans="9:13" x14ac:dyDescent="0.25">
      <c r="I1281"/>
      <c r="J1281"/>
      <c r="K1281"/>
      <c r="L1281"/>
      <c r="M1281"/>
    </row>
    <row r="1282" spans="9:13" x14ac:dyDescent="0.25">
      <c r="I1282"/>
      <c r="J1282"/>
      <c r="K1282"/>
      <c r="L1282"/>
      <c r="M1282"/>
    </row>
    <row r="1283" spans="9:13" x14ac:dyDescent="0.25">
      <c r="I1283"/>
      <c r="J1283"/>
      <c r="K1283"/>
      <c r="L1283"/>
      <c r="M1283"/>
    </row>
    <row r="1284" spans="9:13" x14ac:dyDescent="0.25">
      <c r="I1284"/>
      <c r="J1284"/>
      <c r="K1284"/>
      <c r="L1284"/>
      <c r="M1284"/>
    </row>
    <row r="1285" spans="9:13" x14ac:dyDescent="0.25">
      <c r="I1285"/>
      <c r="J1285"/>
      <c r="K1285"/>
      <c r="L1285"/>
      <c r="M1285"/>
    </row>
    <row r="1286" spans="9:13" x14ac:dyDescent="0.25">
      <c r="I1286"/>
      <c r="J1286"/>
      <c r="K1286"/>
      <c r="L1286"/>
      <c r="M1286"/>
    </row>
    <row r="1287" spans="9:13" x14ac:dyDescent="0.25">
      <c r="I1287"/>
      <c r="J1287"/>
      <c r="K1287"/>
      <c r="L1287"/>
      <c r="M1287"/>
    </row>
    <row r="1288" spans="9:13" x14ac:dyDescent="0.25">
      <c r="I1288"/>
      <c r="J1288"/>
      <c r="K1288"/>
      <c r="L1288"/>
      <c r="M1288"/>
    </row>
    <row r="1289" spans="9:13" x14ac:dyDescent="0.25">
      <c r="I1289"/>
      <c r="J1289"/>
      <c r="K1289"/>
      <c r="L1289"/>
      <c r="M1289"/>
    </row>
    <row r="1290" spans="9:13" x14ac:dyDescent="0.25">
      <c r="I1290"/>
      <c r="J1290"/>
      <c r="K1290"/>
      <c r="L1290"/>
      <c r="M1290"/>
    </row>
    <row r="1291" spans="9:13" x14ac:dyDescent="0.25">
      <c r="I1291"/>
      <c r="J1291"/>
      <c r="K1291"/>
      <c r="L1291"/>
      <c r="M1291"/>
    </row>
    <row r="1292" spans="9:13" x14ac:dyDescent="0.25">
      <c r="I1292"/>
      <c r="J1292"/>
      <c r="K1292"/>
      <c r="L1292"/>
      <c r="M1292"/>
    </row>
    <row r="1293" spans="9:13" x14ac:dyDescent="0.25">
      <c r="I1293"/>
      <c r="J1293"/>
      <c r="K1293"/>
      <c r="L1293"/>
      <c r="M1293"/>
    </row>
    <row r="1294" spans="9:13" x14ac:dyDescent="0.25">
      <c r="I1294"/>
      <c r="J1294"/>
      <c r="K1294"/>
      <c r="L1294"/>
      <c r="M1294"/>
    </row>
    <row r="1295" spans="9:13" x14ac:dyDescent="0.25">
      <c r="I1295"/>
      <c r="J1295"/>
      <c r="K1295"/>
      <c r="L1295"/>
      <c r="M1295"/>
    </row>
    <row r="1296" spans="9:13" x14ac:dyDescent="0.25">
      <c r="I1296"/>
      <c r="J1296"/>
      <c r="K1296"/>
      <c r="L1296"/>
      <c r="M1296"/>
    </row>
    <row r="1297" spans="9:13" x14ac:dyDescent="0.25">
      <c r="I1297"/>
      <c r="J1297"/>
      <c r="K1297"/>
      <c r="L1297"/>
      <c r="M1297"/>
    </row>
    <row r="1298" spans="9:13" x14ac:dyDescent="0.25">
      <c r="I1298"/>
      <c r="J1298"/>
      <c r="K1298"/>
      <c r="L1298"/>
      <c r="M1298"/>
    </row>
    <row r="1299" spans="9:13" x14ac:dyDescent="0.25">
      <c r="I1299"/>
      <c r="J1299"/>
      <c r="K1299"/>
      <c r="L1299"/>
      <c r="M1299"/>
    </row>
    <row r="1300" spans="9:13" x14ac:dyDescent="0.25">
      <c r="I1300"/>
      <c r="J1300"/>
      <c r="K1300"/>
      <c r="L1300"/>
      <c r="M1300"/>
    </row>
    <row r="1301" spans="9:13" x14ac:dyDescent="0.25">
      <c r="I1301"/>
      <c r="J1301"/>
      <c r="K1301"/>
      <c r="L1301"/>
      <c r="M1301"/>
    </row>
    <row r="1302" spans="9:13" x14ac:dyDescent="0.25">
      <c r="I1302"/>
      <c r="J1302"/>
      <c r="K1302"/>
      <c r="L1302"/>
      <c r="M1302"/>
    </row>
    <row r="1303" spans="9:13" x14ac:dyDescent="0.25">
      <c r="I1303"/>
      <c r="J1303"/>
      <c r="K1303"/>
      <c r="L1303"/>
      <c r="M1303"/>
    </row>
    <row r="1304" spans="9:13" x14ac:dyDescent="0.25">
      <c r="I1304"/>
      <c r="J1304"/>
      <c r="K1304"/>
      <c r="L1304"/>
      <c r="M1304"/>
    </row>
    <row r="1305" spans="9:13" x14ac:dyDescent="0.25">
      <c r="I1305"/>
      <c r="J1305"/>
      <c r="K1305"/>
      <c r="L1305"/>
      <c r="M1305"/>
    </row>
    <row r="1306" spans="9:13" x14ac:dyDescent="0.25">
      <c r="I1306"/>
      <c r="J1306"/>
      <c r="K1306"/>
      <c r="L1306"/>
      <c r="M1306"/>
    </row>
    <row r="1307" spans="9:13" x14ac:dyDescent="0.25">
      <c r="I1307"/>
      <c r="J1307"/>
      <c r="K1307"/>
      <c r="L1307"/>
      <c r="M1307"/>
    </row>
    <row r="1308" spans="9:13" x14ac:dyDescent="0.25">
      <c r="I1308"/>
      <c r="J1308"/>
      <c r="K1308"/>
      <c r="L1308"/>
      <c r="M1308"/>
    </row>
    <row r="1309" spans="9:13" x14ac:dyDescent="0.25">
      <c r="I1309"/>
      <c r="J1309"/>
      <c r="K1309"/>
      <c r="L1309"/>
      <c r="M1309"/>
    </row>
    <row r="1310" spans="9:13" x14ac:dyDescent="0.25">
      <c r="I1310"/>
      <c r="J1310"/>
      <c r="K1310"/>
      <c r="L1310"/>
      <c r="M1310"/>
    </row>
    <row r="1311" spans="9:13" x14ac:dyDescent="0.25">
      <c r="I1311"/>
      <c r="J1311"/>
      <c r="K1311"/>
      <c r="L1311"/>
      <c r="M1311"/>
    </row>
    <row r="1312" spans="9:13" x14ac:dyDescent="0.25">
      <c r="I1312"/>
      <c r="J1312"/>
      <c r="K1312"/>
      <c r="L1312"/>
      <c r="M1312"/>
    </row>
    <row r="1313" spans="9:13" x14ac:dyDescent="0.25">
      <c r="I1313"/>
      <c r="J1313"/>
      <c r="K1313"/>
      <c r="L1313"/>
      <c r="M1313"/>
    </row>
    <row r="1314" spans="9:13" x14ac:dyDescent="0.25">
      <c r="I1314"/>
      <c r="J1314"/>
      <c r="K1314"/>
      <c r="L1314"/>
      <c r="M1314"/>
    </row>
    <row r="1315" spans="9:13" x14ac:dyDescent="0.25">
      <c r="I1315"/>
      <c r="J1315"/>
      <c r="K1315"/>
      <c r="L1315"/>
      <c r="M1315"/>
    </row>
    <row r="1316" spans="9:13" x14ac:dyDescent="0.25">
      <c r="I1316"/>
      <c r="J1316"/>
      <c r="K1316"/>
      <c r="L1316"/>
      <c r="M1316"/>
    </row>
    <row r="1317" spans="9:13" x14ac:dyDescent="0.25">
      <c r="I1317"/>
      <c r="J1317"/>
      <c r="K1317"/>
      <c r="L1317"/>
      <c r="M1317"/>
    </row>
    <row r="1318" spans="9:13" x14ac:dyDescent="0.25">
      <c r="I1318"/>
      <c r="J1318"/>
      <c r="K1318"/>
      <c r="L1318"/>
      <c r="M1318"/>
    </row>
    <row r="1319" spans="9:13" x14ac:dyDescent="0.25">
      <c r="I1319"/>
      <c r="J1319"/>
      <c r="K1319"/>
      <c r="L1319"/>
      <c r="M1319"/>
    </row>
    <row r="1320" spans="9:13" x14ac:dyDescent="0.25">
      <c r="I1320"/>
      <c r="J1320"/>
      <c r="K1320"/>
      <c r="L1320"/>
      <c r="M1320"/>
    </row>
    <row r="1321" spans="9:13" x14ac:dyDescent="0.25">
      <c r="I1321"/>
      <c r="J1321"/>
      <c r="K1321"/>
      <c r="L1321"/>
      <c r="M1321"/>
    </row>
    <row r="1322" spans="9:13" x14ac:dyDescent="0.25">
      <c r="I1322"/>
      <c r="J1322"/>
      <c r="K1322"/>
      <c r="L1322"/>
      <c r="M1322"/>
    </row>
    <row r="1323" spans="9:13" x14ac:dyDescent="0.25">
      <c r="I1323"/>
      <c r="J1323"/>
      <c r="K1323"/>
      <c r="L1323"/>
      <c r="M1323"/>
    </row>
    <row r="1324" spans="9:13" x14ac:dyDescent="0.25">
      <c r="I1324"/>
      <c r="J1324"/>
      <c r="K1324"/>
      <c r="L1324"/>
      <c r="M1324"/>
    </row>
    <row r="1325" spans="9:13" x14ac:dyDescent="0.25">
      <c r="I1325"/>
      <c r="J1325"/>
      <c r="K1325"/>
      <c r="L1325"/>
      <c r="M1325"/>
    </row>
    <row r="1326" spans="9:13" x14ac:dyDescent="0.25">
      <c r="I1326"/>
      <c r="J1326"/>
      <c r="K1326"/>
      <c r="L1326"/>
      <c r="M1326"/>
    </row>
    <row r="1327" spans="9:13" x14ac:dyDescent="0.25">
      <c r="I1327"/>
      <c r="J1327"/>
      <c r="K1327"/>
      <c r="L1327"/>
      <c r="M1327"/>
    </row>
    <row r="1328" spans="9:13" x14ac:dyDescent="0.25">
      <c r="I1328"/>
      <c r="J1328"/>
      <c r="K1328"/>
      <c r="L1328"/>
      <c r="M1328"/>
    </row>
    <row r="1329" spans="9:13" x14ac:dyDescent="0.25">
      <c r="I1329"/>
      <c r="J1329"/>
      <c r="K1329"/>
      <c r="L1329"/>
      <c r="M1329"/>
    </row>
    <row r="1330" spans="9:13" x14ac:dyDescent="0.25">
      <c r="I1330"/>
      <c r="J1330"/>
      <c r="K1330"/>
      <c r="L1330"/>
      <c r="M1330"/>
    </row>
    <row r="1331" spans="9:13" x14ac:dyDescent="0.25">
      <c r="I1331"/>
      <c r="J1331"/>
      <c r="K1331"/>
      <c r="L1331"/>
      <c r="M1331"/>
    </row>
    <row r="1332" spans="9:13" x14ac:dyDescent="0.25">
      <c r="I1332"/>
      <c r="J1332"/>
      <c r="K1332"/>
      <c r="L1332"/>
      <c r="M1332"/>
    </row>
    <row r="1333" spans="9:13" x14ac:dyDescent="0.25">
      <c r="I1333"/>
      <c r="J1333"/>
      <c r="K1333"/>
      <c r="L1333"/>
      <c r="M1333"/>
    </row>
    <row r="1334" spans="9:13" x14ac:dyDescent="0.25">
      <c r="I1334"/>
      <c r="J1334"/>
      <c r="K1334"/>
      <c r="L1334"/>
      <c r="M1334"/>
    </row>
    <row r="1335" spans="9:13" x14ac:dyDescent="0.25">
      <c r="I1335"/>
      <c r="J1335"/>
      <c r="K1335"/>
      <c r="L1335"/>
      <c r="M1335"/>
    </row>
    <row r="1336" spans="9:13" x14ac:dyDescent="0.25">
      <c r="I1336"/>
      <c r="J1336"/>
      <c r="K1336"/>
      <c r="L1336"/>
      <c r="M1336"/>
    </row>
    <row r="1337" spans="9:13" x14ac:dyDescent="0.25">
      <c r="I1337"/>
      <c r="J1337"/>
      <c r="K1337"/>
      <c r="L1337"/>
      <c r="M1337"/>
    </row>
    <row r="1338" spans="9:13" x14ac:dyDescent="0.25">
      <c r="I1338"/>
      <c r="J1338"/>
      <c r="K1338"/>
      <c r="L1338"/>
      <c r="M1338"/>
    </row>
    <row r="1339" spans="9:13" x14ac:dyDescent="0.25">
      <c r="I1339"/>
      <c r="J1339"/>
      <c r="K1339"/>
      <c r="L1339"/>
      <c r="M1339"/>
    </row>
    <row r="1340" spans="9:13" x14ac:dyDescent="0.25">
      <c r="I1340"/>
      <c r="J1340"/>
      <c r="K1340"/>
      <c r="L1340"/>
      <c r="M1340"/>
    </row>
    <row r="1341" spans="9:13" x14ac:dyDescent="0.25">
      <c r="I1341"/>
      <c r="J1341"/>
      <c r="K1341"/>
      <c r="L1341"/>
      <c r="M1341"/>
    </row>
    <row r="1342" spans="9:13" x14ac:dyDescent="0.25">
      <c r="I1342"/>
      <c r="J1342"/>
      <c r="K1342"/>
      <c r="L1342"/>
      <c r="M1342"/>
    </row>
    <row r="1343" spans="9:13" x14ac:dyDescent="0.25">
      <c r="I1343"/>
      <c r="J1343"/>
      <c r="K1343"/>
      <c r="L1343"/>
      <c r="M1343"/>
    </row>
    <row r="1344" spans="9:13" x14ac:dyDescent="0.25">
      <c r="I1344"/>
      <c r="J1344"/>
      <c r="K1344"/>
      <c r="L1344"/>
      <c r="M1344"/>
    </row>
    <row r="1345" spans="9:13" x14ac:dyDescent="0.25">
      <c r="I1345"/>
      <c r="J1345"/>
      <c r="K1345"/>
      <c r="L1345"/>
      <c r="M1345"/>
    </row>
    <row r="1346" spans="9:13" x14ac:dyDescent="0.25">
      <c r="I1346"/>
      <c r="J1346"/>
      <c r="K1346"/>
      <c r="L1346"/>
      <c r="M1346"/>
    </row>
    <row r="1347" spans="9:13" x14ac:dyDescent="0.25">
      <c r="I1347"/>
      <c r="J1347"/>
      <c r="K1347"/>
      <c r="L1347"/>
      <c r="M1347"/>
    </row>
    <row r="1348" spans="9:13" x14ac:dyDescent="0.25">
      <c r="I1348"/>
      <c r="J1348"/>
      <c r="K1348"/>
      <c r="L1348"/>
      <c r="M1348"/>
    </row>
    <row r="1349" spans="9:13" x14ac:dyDescent="0.25">
      <c r="I1349"/>
      <c r="J1349"/>
      <c r="K1349"/>
      <c r="L1349"/>
      <c r="M1349"/>
    </row>
    <row r="1350" spans="9:13" x14ac:dyDescent="0.25">
      <c r="I1350"/>
      <c r="J1350"/>
      <c r="K1350"/>
      <c r="L1350"/>
      <c r="M1350"/>
    </row>
    <row r="1351" spans="9:13" x14ac:dyDescent="0.25">
      <c r="I1351"/>
      <c r="J1351"/>
      <c r="K1351"/>
      <c r="L1351"/>
      <c r="M1351"/>
    </row>
    <row r="1352" spans="9:13" x14ac:dyDescent="0.25">
      <c r="I1352"/>
      <c r="J1352"/>
      <c r="K1352"/>
      <c r="L1352"/>
      <c r="M1352"/>
    </row>
    <row r="1353" spans="9:13" x14ac:dyDescent="0.25">
      <c r="I1353"/>
      <c r="J1353"/>
      <c r="K1353"/>
      <c r="L1353"/>
      <c r="M1353"/>
    </row>
    <row r="1354" spans="9:13" x14ac:dyDescent="0.25">
      <c r="I1354"/>
      <c r="J1354"/>
      <c r="K1354"/>
      <c r="L1354"/>
      <c r="M1354"/>
    </row>
    <row r="1355" spans="9:13" x14ac:dyDescent="0.25">
      <c r="I1355"/>
      <c r="J1355"/>
      <c r="K1355"/>
      <c r="L1355"/>
      <c r="M1355"/>
    </row>
    <row r="1356" spans="9:13" x14ac:dyDescent="0.25">
      <c r="I1356"/>
      <c r="J1356"/>
      <c r="K1356"/>
      <c r="L1356"/>
      <c r="M1356"/>
    </row>
    <row r="1357" spans="9:13" x14ac:dyDescent="0.25">
      <c r="I1357"/>
      <c r="J1357"/>
      <c r="K1357"/>
      <c r="L1357"/>
      <c r="M1357"/>
    </row>
    <row r="1358" spans="9:13" x14ac:dyDescent="0.25">
      <c r="I1358"/>
      <c r="J1358"/>
      <c r="K1358"/>
      <c r="L1358"/>
      <c r="M1358"/>
    </row>
    <row r="1359" spans="9:13" x14ac:dyDescent="0.25">
      <c r="I1359"/>
      <c r="J1359"/>
      <c r="K1359"/>
      <c r="L1359"/>
      <c r="M1359"/>
    </row>
    <row r="1360" spans="9:13" x14ac:dyDescent="0.25">
      <c r="I1360"/>
      <c r="J1360"/>
      <c r="K1360"/>
      <c r="L1360"/>
      <c r="M1360"/>
    </row>
    <row r="1361" spans="9:13" x14ac:dyDescent="0.25">
      <c r="I1361"/>
      <c r="J1361"/>
      <c r="K1361"/>
      <c r="L1361"/>
      <c r="M1361"/>
    </row>
    <row r="1362" spans="9:13" x14ac:dyDescent="0.25">
      <c r="I1362"/>
      <c r="J1362"/>
      <c r="K1362"/>
      <c r="L1362"/>
      <c r="M1362"/>
    </row>
    <row r="1363" spans="9:13" x14ac:dyDescent="0.25">
      <c r="I1363"/>
      <c r="J1363"/>
      <c r="K1363"/>
      <c r="L1363"/>
      <c r="M1363"/>
    </row>
    <row r="1364" spans="9:13" x14ac:dyDescent="0.25">
      <c r="I1364"/>
      <c r="J1364"/>
      <c r="K1364"/>
      <c r="L1364"/>
      <c r="M1364"/>
    </row>
    <row r="1365" spans="9:13" x14ac:dyDescent="0.25">
      <c r="I1365"/>
      <c r="J1365"/>
      <c r="K1365"/>
      <c r="L1365"/>
      <c r="M1365"/>
    </row>
    <row r="1366" spans="9:13" x14ac:dyDescent="0.25">
      <c r="I1366"/>
      <c r="J1366"/>
      <c r="K1366"/>
      <c r="L1366"/>
      <c r="M1366"/>
    </row>
    <row r="1367" spans="9:13" x14ac:dyDescent="0.25">
      <c r="I1367"/>
      <c r="J1367"/>
      <c r="K1367"/>
      <c r="L1367"/>
      <c r="M1367"/>
    </row>
    <row r="1368" spans="9:13" x14ac:dyDescent="0.25">
      <c r="I1368"/>
      <c r="J1368"/>
      <c r="K1368"/>
      <c r="L1368"/>
      <c r="M1368"/>
    </row>
    <row r="1369" spans="9:13" x14ac:dyDescent="0.25">
      <c r="I1369"/>
      <c r="J1369"/>
      <c r="K1369"/>
      <c r="L1369"/>
      <c r="M1369"/>
    </row>
    <row r="1370" spans="9:13" x14ac:dyDescent="0.25">
      <c r="I1370"/>
      <c r="J1370"/>
      <c r="K1370"/>
      <c r="L1370"/>
      <c r="M1370"/>
    </row>
    <row r="1371" spans="9:13" x14ac:dyDescent="0.25">
      <c r="I1371"/>
      <c r="J1371"/>
      <c r="K1371"/>
      <c r="L1371"/>
      <c r="M1371"/>
    </row>
    <row r="1372" spans="9:13" x14ac:dyDescent="0.25">
      <c r="I1372"/>
      <c r="J1372"/>
      <c r="K1372"/>
      <c r="L1372"/>
      <c r="M1372"/>
    </row>
    <row r="1373" spans="9:13" x14ac:dyDescent="0.25">
      <c r="I1373"/>
      <c r="J1373"/>
      <c r="K1373"/>
      <c r="L1373"/>
      <c r="M1373"/>
    </row>
    <row r="1374" spans="9:13" x14ac:dyDescent="0.25">
      <c r="I1374"/>
      <c r="J1374"/>
      <c r="K1374"/>
      <c r="L1374"/>
      <c r="M1374"/>
    </row>
    <row r="1375" spans="9:13" x14ac:dyDescent="0.25">
      <c r="I1375"/>
      <c r="J1375"/>
      <c r="K1375"/>
      <c r="L1375"/>
      <c r="M1375"/>
    </row>
    <row r="1376" spans="9:13" x14ac:dyDescent="0.25">
      <c r="I1376"/>
      <c r="J1376"/>
      <c r="K1376"/>
      <c r="L1376"/>
      <c r="M1376"/>
    </row>
    <row r="1377" spans="9:13" x14ac:dyDescent="0.25">
      <c r="I1377"/>
      <c r="J1377"/>
      <c r="K1377"/>
      <c r="L1377"/>
      <c r="M1377"/>
    </row>
    <row r="1378" spans="9:13" x14ac:dyDescent="0.25">
      <c r="I1378"/>
      <c r="J1378"/>
      <c r="K1378"/>
      <c r="L1378"/>
      <c r="M1378"/>
    </row>
    <row r="1379" spans="9:13" x14ac:dyDescent="0.25">
      <c r="I1379"/>
      <c r="J1379"/>
      <c r="K1379"/>
      <c r="L1379"/>
      <c r="M1379"/>
    </row>
    <row r="1380" spans="9:13" x14ac:dyDescent="0.25">
      <c r="I1380"/>
      <c r="J1380"/>
      <c r="K1380"/>
      <c r="L1380"/>
      <c r="M1380"/>
    </row>
    <row r="1381" spans="9:13" x14ac:dyDescent="0.25">
      <c r="I1381"/>
      <c r="J1381"/>
      <c r="K1381"/>
      <c r="L1381"/>
      <c r="M1381"/>
    </row>
    <row r="1382" spans="9:13" x14ac:dyDescent="0.25">
      <c r="I1382"/>
      <c r="J1382"/>
      <c r="K1382"/>
      <c r="L1382"/>
      <c r="M1382"/>
    </row>
    <row r="1383" spans="9:13" x14ac:dyDescent="0.25">
      <c r="I1383"/>
      <c r="J1383"/>
      <c r="K1383"/>
      <c r="L1383"/>
      <c r="M1383"/>
    </row>
    <row r="1384" spans="9:13" x14ac:dyDescent="0.25">
      <c r="I1384"/>
      <c r="J1384"/>
      <c r="K1384"/>
      <c r="L1384"/>
      <c r="M1384"/>
    </row>
    <row r="1385" spans="9:13" x14ac:dyDescent="0.25">
      <c r="I1385"/>
      <c r="J1385"/>
      <c r="K1385"/>
      <c r="L1385"/>
      <c r="M1385"/>
    </row>
    <row r="1386" spans="9:13" x14ac:dyDescent="0.25">
      <c r="I1386"/>
      <c r="J1386"/>
      <c r="K1386"/>
      <c r="L1386"/>
      <c r="M1386"/>
    </row>
    <row r="1387" spans="9:13" x14ac:dyDescent="0.25">
      <c r="I1387"/>
      <c r="J1387"/>
      <c r="K1387"/>
      <c r="L1387"/>
      <c r="M1387"/>
    </row>
    <row r="1388" spans="9:13" x14ac:dyDescent="0.25">
      <c r="I1388"/>
      <c r="J1388"/>
      <c r="K1388"/>
      <c r="L1388"/>
      <c r="M1388"/>
    </row>
    <row r="1389" spans="9:13" x14ac:dyDescent="0.25">
      <c r="I1389"/>
      <c r="J1389"/>
      <c r="K1389"/>
      <c r="L1389"/>
      <c r="M1389"/>
    </row>
    <row r="1390" spans="9:13" x14ac:dyDescent="0.25">
      <c r="I1390"/>
      <c r="J1390"/>
      <c r="K1390"/>
      <c r="L1390"/>
      <c r="M1390"/>
    </row>
    <row r="1391" spans="9:13" x14ac:dyDescent="0.25">
      <c r="I1391"/>
      <c r="J1391"/>
      <c r="K1391"/>
      <c r="L1391"/>
      <c r="M1391"/>
    </row>
    <row r="1392" spans="9:13" x14ac:dyDescent="0.25">
      <c r="I1392"/>
      <c r="J1392"/>
      <c r="K1392"/>
      <c r="L1392"/>
      <c r="M1392"/>
    </row>
    <row r="1393" spans="9:13" x14ac:dyDescent="0.25">
      <c r="I1393"/>
      <c r="J1393"/>
      <c r="K1393"/>
      <c r="L1393"/>
      <c r="M1393"/>
    </row>
    <row r="1394" spans="9:13" x14ac:dyDescent="0.25">
      <c r="I1394"/>
      <c r="J1394"/>
      <c r="K1394"/>
      <c r="L1394"/>
      <c r="M1394"/>
    </row>
    <row r="1395" spans="9:13" x14ac:dyDescent="0.25">
      <c r="I1395"/>
      <c r="J1395"/>
      <c r="K1395"/>
      <c r="L1395"/>
      <c r="M1395"/>
    </row>
    <row r="1396" spans="9:13" x14ac:dyDescent="0.25">
      <c r="I1396"/>
      <c r="J1396"/>
      <c r="K1396"/>
      <c r="L1396"/>
      <c r="M1396"/>
    </row>
    <row r="1397" spans="9:13" x14ac:dyDescent="0.25">
      <c r="I1397"/>
      <c r="J1397"/>
      <c r="K1397"/>
      <c r="L1397"/>
      <c r="M1397"/>
    </row>
    <row r="1398" spans="9:13" x14ac:dyDescent="0.25">
      <c r="I1398"/>
      <c r="J1398"/>
      <c r="K1398"/>
      <c r="L1398"/>
      <c r="M1398"/>
    </row>
    <row r="1399" spans="9:13" x14ac:dyDescent="0.25">
      <c r="I1399"/>
      <c r="J1399"/>
      <c r="K1399"/>
      <c r="L1399"/>
      <c r="M1399"/>
    </row>
    <row r="1400" spans="9:13" x14ac:dyDescent="0.25">
      <c r="I1400"/>
      <c r="J1400"/>
      <c r="K1400"/>
      <c r="L1400"/>
      <c r="M1400"/>
    </row>
    <row r="1401" spans="9:13" x14ac:dyDescent="0.25">
      <c r="I1401"/>
      <c r="J1401"/>
      <c r="K1401"/>
      <c r="L1401"/>
      <c r="M1401"/>
    </row>
    <row r="1402" spans="9:13" x14ac:dyDescent="0.25">
      <c r="I1402"/>
      <c r="J1402"/>
      <c r="K1402"/>
      <c r="L1402"/>
      <c r="M1402"/>
    </row>
    <row r="1403" spans="9:13" x14ac:dyDescent="0.25">
      <c r="I1403"/>
      <c r="J1403"/>
      <c r="K1403"/>
      <c r="L1403"/>
      <c r="M1403"/>
    </row>
    <row r="1404" spans="9:13" x14ac:dyDescent="0.25">
      <c r="I1404"/>
      <c r="J1404"/>
      <c r="K1404"/>
      <c r="L1404"/>
      <c r="M1404"/>
    </row>
    <row r="1405" spans="9:13" x14ac:dyDescent="0.25">
      <c r="I1405"/>
      <c r="J1405"/>
      <c r="K1405"/>
      <c r="L1405"/>
      <c r="M1405"/>
    </row>
    <row r="1406" spans="9:13" x14ac:dyDescent="0.25">
      <c r="I1406"/>
      <c r="J1406"/>
      <c r="K1406"/>
      <c r="L1406"/>
      <c r="M1406"/>
    </row>
    <row r="1407" spans="9:13" x14ac:dyDescent="0.25">
      <c r="I1407"/>
      <c r="J1407"/>
      <c r="K1407"/>
      <c r="L1407"/>
      <c r="M1407"/>
    </row>
    <row r="1408" spans="9:13" x14ac:dyDescent="0.25">
      <c r="I1408"/>
      <c r="J1408"/>
      <c r="K1408"/>
      <c r="L1408"/>
      <c r="M1408"/>
    </row>
    <row r="1409" spans="9:13" x14ac:dyDescent="0.25">
      <c r="I1409"/>
      <c r="J1409"/>
      <c r="K1409"/>
      <c r="L1409"/>
      <c r="M1409"/>
    </row>
    <row r="1410" spans="9:13" x14ac:dyDescent="0.25">
      <c r="I1410"/>
      <c r="J1410"/>
      <c r="K1410"/>
      <c r="L1410"/>
      <c r="M1410"/>
    </row>
    <row r="1411" spans="9:13" x14ac:dyDescent="0.25">
      <c r="I1411"/>
      <c r="J1411"/>
      <c r="K1411"/>
      <c r="L1411"/>
      <c r="M1411"/>
    </row>
    <row r="1412" spans="9:13" x14ac:dyDescent="0.25">
      <c r="I1412"/>
      <c r="J1412"/>
      <c r="K1412"/>
      <c r="L1412"/>
      <c r="M1412"/>
    </row>
    <row r="1413" spans="9:13" x14ac:dyDescent="0.25">
      <c r="I1413"/>
      <c r="J1413"/>
      <c r="K1413"/>
      <c r="L1413"/>
      <c r="M1413"/>
    </row>
    <row r="1414" spans="9:13" x14ac:dyDescent="0.25">
      <c r="I1414"/>
      <c r="J1414"/>
      <c r="K1414"/>
      <c r="L1414"/>
      <c r="M1414"/>
    </row>
    <row r="1415" spans="9:13" x14ac:dyDescent="0.25">
      <c r="I1415"/>
      <c r="J1415"/>
      <c r="K1415"/>
      <c r="L1415"/>
      <c r="M1415"/>
    </row>
    <row r="1416" spans="9:13" x14ac:dyDescent="0.25">
      <c r="I1416"/>
      <c r="J1416"/>
      <c r="K1416"/>
      <c r="L1416"/>
      <c r="M1416"/>
    </row>
    <row r="1417" spans="9:13" x14ac:dyDescent="0.25">
      <c r="I1417"/>
      <c r="J1417"/>
      <c r="K1417"/>
      <c r="L1417"/>
      <c r="M1417"/>
    </row>
    <row r="1418" spans="9:13" x14ac:dyDescent="0.25">
      <c r="I1418"/>
      <c r="J1418"/>
      <c r="K1418"/>
      <c r="L1418"/>
      <c r="M1418"/>
    </row>
    <row r="1419" spans="9:13" x14ac:dyDescent="0.25">
      <c r="I1419"/>
      <c r="J1419"/>
      <c r="K1419"/>
      <c r="L1419"/>
      <c r="M1419"/>
    </row>
    <row r="1420" spans="9:13" x14ac:dyDescent="0.25">
      <c r="I1420"/>
      <c r="J1420"/>
      <c r="K1420"/>
      <c r="L1420"/>
      <c r="M1420"/>
    </row>
    <row r="1421" spans="9:13" x14ac:dyDescent="0.25">
      <c r="I1421"/>
      <c r="J1421"/>
      <c r="K1421"/>
      <c r="L1421"/>
      <c r="M1421"/>
    </row>
    <row r="1422" spans="9:13" x14ac:dyDescent="0.25">
      <c r="I1422"/>
      <c r="J1422"/>
      <c r="K1422"/>
      <c r="L1422"/>
      <c r="M1422"/>
    </row>
    <row r="1423" spans="9:13" x14ac:dyDescent="0.25">
      <c r="I1423"/>
      <c r="J1423"/>
      <c r="K1423"/>
      <c r="L1423"/>
      <c r="M1423"/>
    </row>
    <row r="1424" spans="9:13" x14ac:dyDescent="0.25">
      <c r="I1424"/>
      <c r="J1424"/>
      <c r="K1424"/>
      <c r="L1424"/>
      <c r="M1424"/>
    </row>
    <row r="1425" spans="9:13" x14ac:dyDescent="0.25">
      <c r="I1425"/>
      <c r="J1425"/>
      <c r="K1425"/>
      <c r="L1425"/>
      <c r="M1425"/>
    </row>
    <row r="1426" spans="9:13" x14ac:dyDescent="0.25">
      <c r="I1426"/>
      <c r="J1426"/>
      <c r="K1426"/>
      <c r="L1426"/>
      <c r="M1426"/>
    </row>
    <row r="1427" spans="9:13" x14ac:dyDescent="0.25">
      <c r="I1427"/>
      <c r="J1427"/>
      <c r="K1427"/>
      <c r="L1427"/>
      <c r="M1427"/>
    </row>
    <row r="1428" spans="9:13" x14ac:dyDescent="0.25">
      <c r="I1428"/>
      <c r="J1428"/>
      <c r="K1428"/>
      <c r="L1428"/>
      <c r="M1428"/>
    </row>
    <row r="1429" spans="9:13" x14ac:dyDescent="0.25">
      <c r="I1429"/>
      <c r="J1429"/>
      <c r="K1429"/>
      <c r="L1429"/>
      <c r="M1429"/>
    </row>
    <row r="1430" spans="9:13" x14ac:dyDescent="0.25">
      <c r="I1430"/>
      <c r="J1430"/>
      <c r="K1430"/>
      <c r="L1430"/>
      <c r="M1430"/>
    </row>
    <row r="1431" spans="9:13" x14ac:dyDescent="0.25">
      <c r="I1431"/>
      <c r="J1431"/>
      <c r="K1431"/>
      <c r="L1431"/>
      <c r="M1431"/>
    </row>
    <row r="1432" spans="9:13" x14ac:dyDescent="0.25">
      <c r="I1432"/>
      <c r="J1432"/>
      <c r="K1432"/>
      <c r="L1432"/>
      <c r="M1432"/>
    </row>
    <row r="1433" spans="9:13" x14ac:dyDescent="0.25">
      <c r="I1433"/>
      <c r="J1433"/>
      <c r="K1433"/>
      <c r="L1433"/>
      <c r="M1433"/>
    </row>
    <row r="1434" spans="9:13" x14ac:dyDescent="0.25">
      <c r="I1434"/>
      <c r="J1434"/>
      <c r="K1434"/>
      <c r="L1434"/>
      <c r="M1434"/>
    </row>
    <row r="1435" spans="9:13" x14ac:dyDescent="0.25">
      <c r="I1435"/>
      <c r="J1435"/>
      <c r="K1435"/>
      <c r="L1435"/>
      <c r="M1435"/>
    </row>
    <row r="1436" spans="9:13" x14ac:dyDescent="0.25">
      <c r="I1436"/>
      <c r="J1436"/>
      <c r="K1436"/>
      <c r="L1436"/>
      <c r="M1436"/>
    </row>
    <row r="1437" spans="9:13" x14ac:dyDescent="0.25">
      <c r="I1437"/>
      <c r="J1437"/>
      <c r="K1437"/>
      <c r="L1437"/>
      <c r="M1437"/>
    </row>
    <row r="1438" spans="9:13" x14ac:dyDescent="0.25">
      <c r="I1438"/>
      <c r="J1438"/>
      <c r="K1438"/>
      <c r="L1438"/>
      <c r="M1438"/>
    </row>
    <row r="1439" spans="9:13" x14ac:dyDescent="0.25">
      <c r="I1439"/>
      <c r="J1439"/>
      <c r="K1439"/>
      <c r="L1439"/>
      <c r="M1439"/>
    </row>
    <row r="1440" spans="9:13" x14ac:dyDescent="0.25">
      <c r="I1440"/>
      <c r="J1440"/>
      <c r="K1440"/>
      <c r="L1440"/>
      <c r="M1440"/>
    </row>
    <row r="1441" spans="9:13" x14ac:dyDescent="0.25">
      <c r="I1441"/>
      <c r="J1441"/>
      <c r="K1441"/>
      <c r="L1441"/>
      <c r="M1441"/>
    </row>
    <row r="1442" spans="9:13" x14ac:dyDescent="0.25">
      <c r="I1442"/>
      <c r="J1442"/>
      <c r="K1442"/>
      <c r="L1442"/>
      <c r="M1442"/>
    </row>
    <row r="1443" spans="9:13" x14ac:dyDescent="0.25">
      <c r="I1443"/>
      <c r="J1443"/>
      <c r="K1443"/>
      <c r="L1443"/>
      <c r="M1443"/>
    </row>
    <row r="1444" spans="9:13" x14ac:dyDescent="0.25">
      <c r="I1444"/>
      <c r="J1444"/>
      <c r="K1444"/>
      <c r="L1444"/>
      <c r="M1444"/>
    </row>
    <row r="1445" spans="9:13" x14ac:dyDescent="0.25">
      <c r="I1445"/>
      <c r="J1445"/>
      <c r="K1445"/>
      <c r="L1445"/>
      <c r="M1445"/>
    </row>
    <row r="1446" spans="9:13" x14ac:dyDescent="0.25">
      <c r="I1446"/>
      <c r="J1446"/>
      <c r="K1446"/>
      <c r="L1446"/>
      <c r="M1446"/>
    </row>
    <row r="1447" spans="9:13" x14ac:dyDescent="0.25">
      <c r="I1447"/>
      <c r="J1447"/>
      <c r="K1447"/>
      <c r="L1447"/>
      <c r="M1447"/>
    </row>
    <row r="1448" spans="9:13" x14ac:dyDescent="0.25">
      <c r="I1448"/>
      <c r="J1448"/>
      <c r="K1448"/>
      <c r="L1448"/>
      <c r="M1448"/>
    </row>
    <row r="1449" spans="9:13" x14ac:dyDescent="0.25">
      <c r="I1449"/>
      <c r="J1449"/>
      <c r="K1449"/>
      <c r="L1449"/>
      <c r="M1449"/>
    </row>
    <row r="1450" spans="9:13" x14ac:dyDescent="0.25">
      <c r="I1450"/>
      <c r="J1450"/>
      <c r="K1450"/>
      <c r="L1450"/>
      <c r="M1450"/>
    </row>
    <row r="1451" spans="9:13" x14ac:dyDescent="0.25">
      <c r="I1451"/>
      <c r="J1451"/>
      <c r="K1451"/>
      <c r="L1451"/>
      <c r="M1451"/>
    </row>
    <row r="1452" spans="9:13" x14ac:dyDescent="0.25">
      <c r="I1452"/>
      <c r="J1452"/>
      <c r="K1452"/>
      <c r="L1452"/>
      <c r="M1452"/>
    </row>
    <row r="1453" spans="9:13" x14ac:dyDescent="0.25">
      <c r="I1453"/>
      <c r="J1453"/>
      <c r="K1453"/>
      <c r="L1453"/>
      <c r="M1453"/>
    </row>
    <row r="1454" spans="9:13" x14ac:dyDescent="0.25">
      <c r="I1454"/>
      <c r="J1454"/>
      <c r="K1454"/>
      <c r="L1454"/>
      <c r="M1454"/>
    </row>
    <row r="1455" spans="9:13" x14ac:dyDescent="0.25">
      <c r="I1455"/>
      <c r="J1455"/>
      <c r="K1455"/>
      <c r="L1455"/>
      <c r="M1455"/>
    </row>
    <row r="1456" spans="9:13" x14ac:dyDescent="0.25">
      <c r="I1456"/>
      <c r="J1456"/>
      <c r="K1456"/>
      <c r="L1456"/>
      <c r="M1456"/>
    </row>
    <row r="1457" spans="9:13" x14ac:dyDescent="0.25">
      <c r="I1457"/>
      <c r="J1457"/>
      <c r="K1457"/>
      <c r="L1457"/>
      <c r="M1457"/>
    </row>
    <row r="1458" spans="9:13" x14ac:dyDescent="0.25">
      <c r="I1458"/>
      <c r="J1458"/>
      <c r="K1458"/>
      <c r="L1458"/>
      <c r="M1458"/>
    </row>
    <row r="1459" spans="9:13" x14ac:dyDescent="0.25">
      <c r="I1459"/>
      <c r="J1459"/>
      <c r="K1459"/>
      <c r="L1459"/>
      <c r="M1459"/>
    </row>
    <row r="1460" spans="9:13" x14ac:dyDescent="0.25">
      <c r="I1460"/>
      <c r="J1460"/>
      <c r="K1460"/>
      <c r="L1460"/>
      <c r="M1460"/>
    </row>
    <row r="1461" spans="9:13" x14ac:dyDescent="0.25">
      <c r="I1461"/>
      <c r="J1461"/>
      <c r="K1461"/>
      <c r="L1461"/>
      <c r="M1461"/>
    </row>
    <row r="1462" spans="9:13" x14ac:dyDescent="0.25">
      <c r="I1462"/>
      <c r="J1462"/>
      <c r="K1462"/>
      <c r="L1462"/>
      <c r="M1462"/>
    </row>
    <row r="1463" spans="9:13" x14ac:dyDescent="0.25">
      <c r="I1463"/>
      <c r="J1463"/>
      <c r="K1463"/>
      <c r="L1463"/>
      <c r="M1463"/>
    </row>
    <row r="1464" spans="9:13" x14ac:dyDescent="0.25">
      <c r="I1464"/>
      <c r="J1464"/>
      <c r="K1464"/>
      <c r="L1464"/>
      <c r="M1464"/>
    </row>
    <row r="1465" spans="9:13" x14ac:dyDescent="0.25">
      <c r="I1465"/>
      <c r="J1465"/>
      <c r="K1465"/>
      <c r="L1465"/>
      <c r="M1465"/>
    </row>
    <row r="1466" spans="9:13" x14ac:dyDescent="0.25">
      <c r="I1466"/>
      <c r="J1466"/>
      <c r="K1466"/>
      <c r="L1466"/>
      <c r="M1466"/>
    </row>
    <row r="1467" spans="9:13" x14ac:dyDescent="0.25">
      <c r="I1467"/>
      <c r="J1467"/>
      <c r="K1467"/>
      <c r="L1467"/>
      <c r="M1467"/>
    </row>
    <row r="1468" spans="9:13" x14ac:dyDescent="0.25">
      <c r="I1468"/>
      <c r="J1468"/>
      <c r="K1468"/>
      <c r="L1468"/>
      <c r="M1468"/>
    </row>
    <row r="1469" spans="9:13" x14ac:dyDescent="0.25">
      <c r="I1469"/>
      <c r="J1469"/>
      <c r="K1469"/>
      <c r="L1469"/>
      <c r="M1469"/>
    </row>
    <row r="1470" spans="9:13" x14ac:dyDescent="0.25">
      <c r="I1470"/>
      <c r="J1470"/>
      <c r="K1470"/>
      <c r="L1470"/>
      <c r="M1470"/>
    </row>
    <row r="1471" spans="9:13" x14ac:dyDescent="0.25">
      <c r="I1471"/>
      <c r="J1471"/>
      <c r="K1471"/>
      <c r="L1471"/>
      <c r="M1471"/>
    </row>
    <row r="1472" spans="9:13" x14ac:dyDescent="0.25">
      <c r="I1472"/>
      <c r="J1472"/>
      <c r="K1472"/>
      <c r="L1472"/>
      <c r="M1472"/>
    </row>
    <row r="1473" spans="9:13" x14ac:dyDescent="0.25">
      <c r="I1473"/>
      <c r="J1473"/>
      <c r="K1473"/>
      <c r="L1473"/>
      <c r="M1473"/>
    </row>
    <row r="1474" spans="9:13" x14ac:dyDescent="0.25">
      <c r="I1474"/>
      <c r="J1474"/>
      <c r="K1474"/>
      <c r="L1474"/>
      <c r="M1474"/>
    </row>
    <row r="1475" spans="9:13" x14ac:dyDescent="0.25">
      <c r="I1475"/>
      <c r="J1475"/>
      <c r="K1475"/>
      <c r="L1475"/>
      <c r="M1475"/>
    </row>
    <row r="1476" spans="9:13" x14ac:dyDescent="0.25">
      <c r="I1476"/>
      <c r="J1476"/>
      <c r="K1476"/>
      <c r="L1476"/>
      <c r="M1476"/>
    </row>
    <row r="1477" spans="9:13" x14ac:dyDescent="0.25">
      <c r="I1477"/>
      <c r="J1477"/>
      <c r="K1477"/>
      <c r="L1477"/>
      <c r="M1477"/>
    </row>
    <row r="1478" spans="9:13" x14ac:dyDescent="0.25">
      <c r="I1478"/>
      <c r="J1478"/>
      <c r="K1478"/>
      <c r="L1478"/>
      <c r="M1478"/>
    </row>
    <row r="1479" spans="9:13" x14ac:dyDescent="0.25">
      <c r="I1479"/>
      <c r="J1479"/>
      <c r="K1479"/>
      <c r="L1479"/>
      <c r="M1479"/>
    </row>
    <row r="1480" spans="9:13" x14ac:dyDescent="0.25">
      <c r="I1480"/>
      <c r="J1480"/>
      <c r="K1480"/>
      <c r="L1480"/>
      <c r="M1480"/>
    </row>
    <row r="1481" spans="9:13" x14ac:dyDescent="0.25">
      <c r="I1481"/>
      <c r="J1481"/>
      <c r="K1481"/>
      <c r="L1481"/>
      <c r="M1481"/>
    </row>
    <row r="1482" spans="9:13" x14ac:dyDescent="0.25">
      <c r="I1482"/>
      <c r="J1482"/>
      <c r="K1482"/>
      <c r="L1482"/>
      <c r="M1482"/>
    </row>
    <row r="1483" spans="9:13" x14ac:dyDescent="0.25">
      <c r="I1483"/>
      <c r="J1483"/>
      <c r="K1483"/>
      <c r="L1483"/>
      <c r="M1483"/>
    </row>
    <row r="1484" spans="9:13" x14ac:dyDescent="0.25">
      <c r="I1484"/>
      <c r="J1484"/>
      <c r="K1484"/>
      <c r="L1484"/>
      <c r="M1484"/>
    </row>
    <row r="1485" spans="9:13" x14ac:dyDescent="0.25">
      <c r="I1485"/>
      <c r="J1485"/>
      <c r="K1485"/>
      <c r="L1485"/>
      <c r="M1485"/>
    </row>
    <row r="1486" spans="9:13" x14ac:dyDescent="0.25">
      <c r="I1486"/>
      <c r="J1486"/>
      <c r="K1486"/>
      <c r="L1486"/>
      <c r="M1486"/>
    </row>
    <row r="1487" spans="9:13" x14ac:dyDescent="0.25">
      <c r="I1487"/>
      <c r="J1487"/>
      <c r="K1487"/>
      <c r="L1487"/>
      <c r="M1487"/>
    </row>
    <row r="1488" spans="9:13" x14ac:dyDescent="0.25">
      <c r="I1488"/>
      <c r="J1488"/>
      <c r="K1488"/>
      <c r="L1488"/>
      <c r="M1488"/>
    </row>
    <row r="1489" spans="9:13" x14ac:dyDescent="0.25">
      <c r="I1489"/>
      <c r="J1489"/>
      <c r="K1489"/>
      <c r="L1489"/>
      <c r="M1489"/>
    </row>
    <row r="1490" spans="9:13" x14ac:dyDescent="0.25">
      <c r="I1490"/>
      <c r="J1490"/>
      <c r="K1490"/>
      <c r="L1490"/>
      <c r="M1490"/>
    </row>
    <row r="1491" spans="9:13" x14ac:dyDescent="0.25">
      <c r="I1491"/>
      <c r="J1491"/>
      <c r="K1491"/>
      <c r="L1491"/>
      <c r="M1491"/>
    </row>
    <row r="1492" spans="9:13" x14ac:dyDescent="0.25">
      <c r="I1492"/>
      <c r="J1492"/>
      <c r="K1492"/>
      <c r="L1492"/>
      <c r="M1492"/>
    </row>
    <row r="1493" spans="9:13" x14ac:dyDescent="0.25">
      <c r="I1493"/>
      <c r="J1493"/>
      <c r="K1493"/>
      <c r="L1493"/>
      <c r="M1493"/>
    </row>
    <row r="1494" spans="9:13" x14ac:dyDescent="0.25">
      <c r="I1494"/>
      <c r="J1494"/>
      <c r="K1494"/>
      <c r="L1494"/>
      <c r="M1494"/>
    </row>
    <row r="1495" spans="9:13" x14ac:dyDescent="0.25">
      <c r="I1495"/>
      <c r="J1495"/>
      <c r="K1495"/>
      <c r="L1495"/>
      <c r="M1495"/>
    </row>
    <row r="1496" spans="9:13" x14ac:dyDescent="0.25">
      <c r="I1496"/>
      <c r="J1496"/>
      <c r="K1496"/>
      <c r="L1496"/>
      <c r="M1496"/>
    </row>
    <row r="1497" spans="9:13" x14ac:dyDescent="0.25">
      <c r="I1497"/>
      <c r="J1497"/>
      <c r="K1497"/>
      <c r="L1497"/>
      <c r="M1497"/>
    </row>
    <row r="1498" spans="9:13" x14ac:dyDescent="0.25">
      <c r="I1498"/>
      <c r="J1498"/>
      <c r="K1498"/>
      <c r="L1498"/>
      <c r="M1498"/>
    </row>
    <row r="1499" spans="9:13" x14ac:dyDescent="0.25">
      <c r="I1499"/>
      <c r="J1499"/>
      <c r="K1499"/>
      <c r="L1499"/>
      <c r="M1499"/>
    </row>
    <row r="1500" spans="9:13" x14ac:dyDescent="0.25">
      <c r="I1500"/>
      <c r="J1500"/>
      <c r="K1500"/>
      <c r="L1500"/>
      <c r="M1500"/>
    </row>
    <row r="1501" spans="9:13" x14ac:dyDescent="0.25">
      <c r="I1501"/>
      <c r="J1501"/>
      <c r="K1501"/>
      <c r="L1501"/>
      <c r="M1501"/>
    </row>
  </sheetData>
  <mergeCells count="7">
    <mergeCell ref="B11:F11"/>
    <mergeCell ref="B2:G2"/>
    <mergeCell ref="B3:G3"/>
    <mergeCell ref="C6:G6"/>
    <mergeCell ref="C7:G7"/>
    <mergeCell ref="C8:G8"/>
    <mergeCell ref="C9:G9"/>
  </mergeCells>
  <conditionalFormatting sqref="C9">
    <cfRule type="cellIs" dxfId="222" priority="19" operator="equal">
      <formula>"Erro"</formula>
    </cfRule>
  </conditionalFormatting>
  <conditionalFormatting sqref="P3:P6">
    <cfRule type="cellIs" dxfId="221" priority="17" operator="equal">
      <formula>FALSE</formula>
    </cfRule>
    <cfRule type="cellIs" dxfId="220" priority="18" operator="equal">
      <formula>TRUE</formula>
    </cfRule>
  </conditionalFormatting>
  <conditionalFormatting sqref="P7">
    <cfRule type="cellIs" dxfId="219" priority="15" operator="equal">
      <formula>"Erro"</formula>
    </cfRule>
    <cfRule type="cellIs" dxfId="218" priority="16" operator="equal">
      <formula>"OK"</formula>
    </cfRule>
  </conditionalFormatting>
  <conditionalFormatting sqref="P28:P32">
    <cfRule type="cellIs" dxfId="217" priority="13" operator="equal">
      <formula>0</formula>
    </cfRule>
    <cfRule type="cellIs" dxfId="216" priority="14" operator="equal">
      <formula>1</formula>
    </cfRule>
  </conditionalFormatting>
  <conditionalFormatting sqref="P18:P22 P45 P49 P51 P53 P55 P57">
    <cfRule type="cellIs" dxfId="215" priority="9" stopIfTrue="1" operator="equal">
      <formula>"""-"""</formula>
    </cfRule>
    <cfRule type="cellIs" dxfId="214" priority="10" operator="greaterThanOrEqual">
      <formula>1</formula>
    </cfRule>
  </conditionalFormatting>
  <conditionalFormatting sqref="G11">
    <cfRule type="cellIs" dxfId="213" priority="8" operator="equal">
      <formula>"Erro"</formula>
    </cfRule>
  </conditionalFormatting>
  <conditionalFormatting sqref="J3:J6">
    <cfRule type="cellIs" dxfId="212" priority="6" operator="equal">
      <formula>"TRUE"</formula>
    </cfRule>
    <cfRule type="cellIs" dxfId="211" priority="7" operator="equal">
      <formula>"FALSE"</formula>
    </cfRule>
  </conditionalFormatting>
  <conditionalFormatting sqref="J7">
    <cfRule type="cellIs" dxfId="210" priority="4" operator="equal">
      <formula>"TRUE"</formula>
    </cfRule>
    <cfRule type="cellIs" dxfId="209" priority="5" operator="equal">
      <formula>"FALSE"</formula>
    </cfRule>
  </conditionalFormatting>
  <conditionalFormatting sqref="E14:E22">
    <cfRule type="cellIs" dxfId="208" priority="1" operator="greaterThanOrEqual">
      <formula>1</formula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1" operator="greaterThanOrEqual" id="{43B4988A-346A-4D68-9197-C940E44C8F9D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" operator="lessThan" id="{CB481AFA-8C99-415C-8E4F-E0483A7C3D6F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P18:P22 P45 P49 P51 P53 P55 P57</xm:sqref>
        </x14:conditionalFormatting>
        <x14:conditionalFormatting xmlns:xm="http://schemas.microsoft.com/office/excel/2006/main">
          <x14:cfRule type="cellIs" priority="2" operator="greaterThanOrEqual" id="{2051EFE0-FFAA-4C74-BDE9-6E13DBDF3A49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" operator="lessThan" id="{BC840D1F-F5E0-4AB8-AEC1-38A1037841D3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E14:E22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2E7A8-87A4-4940-B855-E435C418E222}">
  <sheetPr>
    <tabColor theme="9" tint="-0.249977111117893"/>
  </sheetPr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E32A5-95B8-4610-833E-F7C35865B0E3}">
  <sheetPr codeName="Planilha9">
    <tabColor theme="9" tint="-0.249977111117893"/>
  </sheetPr>
  <dimension ref="B1:Q1501"/>
  <sheetViews>
    <sheetView showGridLines="0" workbookViewId="0">
      <selection activeCell="E31" sqref="E31"/>
    </sheetView>
  </sheetViews>
  <sheetFormatPr defaultRowHeight="15" x14ac:dyDescent="0.25"/>
  <cols>
    <col min="1" max="1" width="4.140625" style="1" customWidth="1"/>
    <col min="2" max="2" width="24.140625" style="1" bestFit="1" customWidth="1"/>
    <col min="3" max="3" width="22" style="1" customWidth="1"/>
    <col min="4" max="4" width="22.5703125" style="1" customWidth="1"/>
    <col min="5" max="5" width="9.7109375" style="1" customWidth="1"/>
    <col min="6" max="6" width="10.5703125" style="1" customWidth="1"/>
    <col min="7" max="7" width="17.85546875" style="1" customWidth="1"/>
    <col min="8" max="8" width="4.140625" style="1" customWidth="1"/>
    <col min="9" max="9" width="98.42578125" style="1" customWidth="1"/>
    <col min="10" max="13" width="15.5703125" style="1" customWidth="1"/>
    <col min="14" max="14" width="10.7109375" style="1" bestFit="1" customWidth="1"/>
    <col min="15" max="15" width="11" style="1" customWidth="1"/>
    <col min="16" max="16" width="24.140625" style="1" bestFit="1" customWidth="1"/>
    <col min="17" max="17" width="34.5703125" style="1" customWidth="1"/>
    <col min="18" max="16384" width="9.140625" style="1"/>
  </cols>
  <sheetData>
    <row r="1" spans="2:17" x14ac:dyDescent="0.25">
      <c r="I1" s="65" t="s">
        <v>324</v>
      </c>
      <c r="J1" t="s" vm="12">
        <v>97</v>
      </c>
      <c r="K1"/>
      <c r="O1" s="82">
        <v>1</v>
      </c>
      <c r="P1" s="83" t="s">
        <v>214</v>
      </c>
      <c r="Q1" s="84" t="str">
        <f>IFERROR(VLOOKUP($J$1,Representantes_IV[],$O1,0),"-")</f>
        <v>wladimir.campelo@cslbehring.com</v>
      </c>
    </row>
    <row r="2" spans="2:17" x14ac:dyDescent="0.25">
      <c r="B2" s="117" t="s">
        <v>289</v>
      </c>
      <c r="C2" s="117"/>
      <c r="D2" s="117"/>
      <c r="E2" s="117"/>
      <c r="F2" s="117"/>
      <c r="G2" s="117"/>
      <c r="I2" s="65" t="s">
        <v>52</v>
      </c>
      <c r="J2" t="s" vm="1">
        <v>53</v>
      </c>
      <c r="K2"/>
      <c r="O2" s="67">
        <v>2</v>
      </c>
      <c r="P2" s="68" t="s">
        <v>215</v>
      </c>
      <c r="Q2" s="69" t="str">
        <f>IFERROR(VLOOKUP($J$1,Representantes_IV[],$O2,0),"-")</f>
        <v>WLADIMIR CAMPELO EMH (AC/AM/AP/PA/RO/RR/DF)</v>
      </c>
    </row>
    <row r="3" spans="2:17" x14ac:dyDescent="0.25">
      <c r="B3" s="117" t="str">
        <f>"Relatório atualizado em " &amp; TEXT(Ultima_Atualizacao_RPT[[#This Row],[Ultima-Atualizacao-RPT]],"dd/mm/aaaa") &amp; " Dados Atualizados em " &amp; TEXT(Ultima_Atualizacao_DADOS[[#This Row],[Ultima-Atualizacao-Dados]],"dd/mm/aaaa")</f>
        <v>Relatório atualizado em 18/08/2020 Dados Atualizados em 18/08/2020</v>
      </c>
      <c r="C3" s="117"/>
      <c r="D3" s="117"/>
      <c r="E3" s="117"/>
      <c r="F3" s="117"/>
      <c r="G3" s="117"/>
      <c r="I3" s="65" t="s">
        <v>153</v>
      </c>
      <c r="J3" t="s" vm="11">
        <v>286</v>
      </c>
      <c r="K3"/>
      <c r="O3" s="67">
        <v>3</v>
      </c>
      <c r="P3" s="68" t="s">
        <v>153</v>
      </c>
      <c r="Q3" s="69" t="b">
        <f>IFERROR(VLOOKUP($J$1,Representantes_IV[],$O3,0),"-")</f>
        <v>1</v>
      </c>
    </row>
    <row r="4" spans="2:17" ht="21" x14ac:dyDescent="0.25">
      <c r="B4" s="79" t="s">
        <v>282</v>
      </c>
      <c r="I4" s="65" t="s">
        <v>158</v>
      </c>
      <c r="J4" t="s" vm="10">
        <v>286</v>
      </c>
      <c r="K4"/>
      <c r="L4"/>
      <c r="M4"/>
      <c r="O4" s="67">
        <v>4</v>
      </c>
      <c r="P4" s="68" t="s">
        <v>157</v>
      </c>
      <c r="Q4" s="69" t="b">
        <f>IFERROR(VLOOKUP($J$1,Representantes_IV[],$O4,0),"-")</f>
        <v>0</v>
      </c>
    </row>
    <row r="5" spans="2:17" x14ac:dyDescent="0.25">
      <c r="B5" s="78" t="s">
        <v>280</v>
      </c>
      <c r="C5" s="118" t="str" cm="1">
        <f t="array" ref="C5">Datas[AnoMes-Fiscal]</f>
        <v>2020/2021 (01-Jul)</v>
      </c>
      <c r="D5" s="118"/>
      <c r="E5" s="118"/>
      <c r="F5" s="118"/>
      <c r="G5" s="118"/>
      <c r="I5" s="65" t="s">
        <v>108</v>
      </c>
      <c r="J5" t="s" vm="3">
        <v>287</v>
      </c>
      <c r="K5"/>
      <c r="L5"/>
      <c r="M5"/>
      <c r="N5"/>
      <c r="O5" s="67">
        <v>5</v>
      </c>
      <c r="P5" s="68" t="s">
        <v>93</v>
      </c>
      <c r="Q5" s="69" t="b">
        <f>IFERROR(VLOOKUP($J$1,Representantes_IV[],$O5,0),"-")</f>
        <v>0</v>
      </c>
    </row>
    <row r="6" spans="2:17" ht="15.75" x14ac:dyDescent="0.25">
      <c r="B6" s="78" t="s">
        <v>215</v>
      </c>
      <c r="C6" s="119" t="str">
        <f>Q2</f>
        <v>WLADIMIR CAMPELO EMH (AC/AM/AP/PA/RO/RR/DF)</v>
      </c>
      <c r="D6" s="119"/>
      <c r="E6" s="119"/>
      <c r="F6" s="119"/>
      <c r="G6" s="119"/>
      <c r="I6" s="65" t="s">
        <v>109</v>
      </c>
      <c r="J6" t="s" vm="4">
        <v>287</v>
      </c>
      <c r="K6"/>
      <c r="L6"/>
      <c r="M6"/>
      <c r="N6"/>
      <c r="O6" s="67">
        <v>6</v>
      </c>
      <c r="P6" s="68" t="s">
        <v>158</v>
      </c>
      <c r="Q6" s="69" t="b">
        <f>IFERROR(VLOOKUP($J$1,Representantes_IV[],$O6,0),"-")</f>
        <v>1</v>
      </c>
    </row>
    <row r="7" spans="2:17" x14ac:dyDescent="0.25">
      <c r="B7" s="78" t="s">
        <v>279</v>
      </c>
      <c r="C7" s="118" t="str">
        <f>Q1</f>
        <v>wladimir.campelo@cslbehring.com</v>
      </c>
      <c r="D7" s="118"/>
      <c r="E7" s="118"/>
      <c r="F7" s="118"/>
      <c r="G7" s="118"/>
      <c r="I7" s="65" t="s">
        <v>92</v>
      </c>
      <c r="J7" t="s" vm="5">
        <v>286</v>
      </c>
      <c r="K7"/>
      <c r="L7"/>
      <c r="M7"/>
      <c r="N7"/>
      <c r="O7" s="67">
        <v>7</v>
      </c>
      <c r="P7" s="68" t="s">
        <v>217</v>
      </c>
      <c r="Q7" s="69" t="str">
        <f>IFERROR(VLOOKUP($J$1,Representantes_IV[],$O7,0),"-")</f>
        <v>OK</v>
      </c>
    </row>
    <row r="8" spans="2:17" x14ac:dyDescent="0.25">
      <c r="B8" s="78" t="s">
        <v>269</v>
      </c>
      <c r="C8" s="118" t="str">
        <f>IF(Q4=TRUE,"Hospitalar",IF(Q5=TRUE,"Especialidades",IF(Q6=TRUE,"Equipe Mista","Erro")))</f>
        <v>Equipe Mista</v>
      </c>
      <c r="D8" s="118"/>
      <c r="E8" s="118"/>
      <c r="F8" s="118"/>
      <c r="G8" s="118"/>
      <c r="I8"/>
      <c r="J8"/>
      <c r="K8"/>
      <c r="L8"/>
      <c r="M8"/>
      <c r="N8"/>
      <c r="O8" s="67">
        <v>8</v>
      </c>
      <c r="P8" s="68" t="s">
        <v>178</v>
      </c>
      <c r="Q8" s="70">
        <f>IFERROR(VLOOKUP($J$1,Representantes_IV[],$O8,0),"-")</f>
        <v>0</v>
      </c>
    </row>
    <row r="9" spans="2:17" x14ac:dyDescent="0.25">
      <c r="I9" s="65" t="s">
        <v>288</v>
      </c>
      <c r="J9"/>
      <c r="K9"/>
      <c r="L9"/>
      <c r="M9"/>
      <c r="N9"/>
      <c r="O9" s="67">
        <v>9</v>
      </c>
      <c r="P9" s="68" t="s">
        <v>179</v>
      </c>
      <c r="Q9" s="70">
        <f>IFERROR(VLOOKUP($J$1,Representantes_IV[],$O9,0),"-")</f>
        <v>6</v>
      </c>
    </row>
    <row r="10" spans="2:17" ht="15.75" x14ac:dyDescent="0.25">
      <c r="B10" s="116" t="s">
        <v>281</v>
      </c>
      <c r="C10" s="116"/>
      <c r="D10" s="116"/>
      <c r="E10" s="116"/>
      <c r="F10" s="116"/>
      <c r="G10" s="80">
        <f>IF(SUM(G13:G23)&lt;&gt;Q59,"Erro",SUM(G13:G23))</f>
        <v>5934.3042000000005</v>
      </c>
      <c r="I10"/>
      <c r="J10" s="45" t="s">
        <v>8</v>
      </c>
      <c r="K10" s="45" t="s">
        <v>10</v>
      </c>
      <c r="L10" s="45" t="s">
        <v>11</v>
      </c>
      <c r="M10" s="45" t="s">
        <v>12</v>
      </c>
      <c r="N10"/>
      <c r="O10" s="67">
        <v>10</v>
      </c>
      <c r="P10" s="68" t="s">
        <v>180</v>
      </c>
      <c r="Q10" s="70">
        <f>IFERROR(VLOOKUP($J$1,Representantes_IV[],$O10,0),"-")</f>
        <v>12</v>
      </c>
    </row>
    <row r="11" spans="2:17" x14ac:dyDescent="0.25">
      <c r="I11" s="66" t="s">
        <v>330</v>
      </c>
      <c r="J11" s="85"/>
      <c r="K11" s="85"/>
      <c r="L11" s="85"/>
      <c r="M11" s="85">
        <v>302.5</v>
      </c>
      <c r="N11"/>
      <c r="O11" s="67">
        <v>11</v>
      </c>
      <c r="P11" s="68" t="s">
        <v>181</v>
      </c>
      <c r="Q11" s="70">
        <f>IFERROR(VLOOKUP($J$1,Representantes_IV[],$O11,0),"-")</f>
        <v>910</v>
      </c>
    </row>
    <row r="12" spans="2:17" x14ac:dyDescent="0.25">
      <c r="B12" s="81" t="s">
        <v>283</v>
      </c>
      <c r="C12" s="81" t="s">
        <v>270</v>
      </c>
      <c r="D12" s="81" t="s">
        <v>273</v>
      </c>
      <c r="E12" s="81" t="s">
        <v>271</v>
      </c>
      <c r="F12" s="81" t="s">
        <v>213</v>
      </c>
      <c r="G12" s="81" t="s">
        <v>272</v>
      </c>
      <c r="I12" s="66" t="s">
        <v>331</v>
      </c>
      <c r="J12" s="85"/>
      <c r="K12" s="85"/>
      <c r="L12" s="85"/>
      <c r="M12" s="85">
        <v>40</v>
      </c>
      <c r="N12"/>
      <c r="O12" s="67">
        <v>12</v>
      </c>
      <c r="P12" s="68" t="s">
        <v>182</v>
      </c>
      <c r="Q12" s="70">
        <f>IFERROR(VLOOKUP($J$1,Representantes_IV[],$O12,0),"-")</f>
        <v>1120</v>
      </c>
    </row>
    <row r="13" spans="2:17" x14ac:dyDescent="0.25">
      <c r="B13" s="71" t="str">
        <f>P8</f>
        <v>Demanda BERINERT</v>
      </c>
      <c r="C13" s="72">
        <f>Q13</f>
        <v>19.88</v>
      </c>
      <c r="D13" s="72" cm="1">
        <f t="array" ref="D13:D17">Q8:Q12</f>
        <v>0</v>
      </c>
      <c r="E13" s="73">
        <f>Q18</f>
        <v>0</v>
      </c>
      <c r="F13" s="73">
        <f>Q28</f>
        <v>0</v>
      </c>
      <c r="G13" s="74">
        <f>Q38</f>
        <v>0</v>
      </c>
      <c r="I13" s="66" t="s">
        <v>332</v>
      </c>
      <c r="J13" s="85"/>
      <c r="K13" s="85"/>
      <c r="L13" s="85">
        <v>107</v>
      </c>
      <c r="M13" s="85">
        <v>50</v>
      </c>
      <c r="N13"/>
      <c r="O13" s="67">
        <v>13</v>
      </c>
      <c r="P13" s="68" t="s">
        <v>165</v>
      </c>
      <c r="Q13" s="70">
        <f>IFERROR(VLOOKUP($J$1,Representantes_IV[],$O13,0),"-")</f>
        <v>19.88</v>
      </c>
    </row>
    <row r="14" spans="2:17" x14ac:dyDescent="0.25">
      <c r="B14" s="71" t="str">
        <f>P9</f>
        <v>Demanda BERIPLEX</v>
      </c>
      <c r="C14" s="72">
        <f>Q14</f>
        <v>86</v>
      </c>
      <c r="D14" s="72">
        <v>6</v>
      </c>
      <c r="E14" s="73">
        <f>Q19</f>
        <v>7.0000000000000007E-2</v>
      </c>
      <c r="F14" s="73">
        <f>Q29</f>
        <v>0</v>
      </c>
      <c r="G14" s="74">
        <f>Q39</f>
        <v>0</v>
      </c>
      <c r="I14" s="66" t="s">
        <v>333</v>
      </c>
      <c r="J14" s="85"/>
      <c r="K14" s="85"/>
      <c r="L14" s="85"/>
      <c r="M14" s="85">
        <v>200</v>
      </c>
      <c r="N14"/>
      <c r="O14" s="67">
        <v>14</v>
      </c>
      <c r="P14" s="68" t="s">
        <v>166</v>
      </c>
      <c r="Q14" s="70">
        <f>IFERROR(VLOOKUP($J$1,Representantes_IV[],$O14,0),"-")</f>
        <v>86</v>
      </c>
    </row>
    <row r="15" spans="2:17" x14ac:dyDescent="0.25">
      <c r="B15" s="71" t="str">
        <f>P10</f>
        <v>Demanda HAEMO</v>
      </c>
      <c r="C15" s="72">
        <f>Q15</f>
        <v>21</v>
      </c>
      <c r="D15" s="72">
        <v>12</v>
      </c>
      <c r="E15" s="73">
        <f>Q20</f>
        <v>0.57199999999999995</v>
      </c>
      <c r="F15" s="73">
        <f>Q30</f>
        <v>0</v>
      </c>
      <c r="G15" s="74">
        <f>Q40</f>
        <v>0</v>
      </c>
      <c r="I15" s="66" t="s">
        <v>334</v>
      </c>
      <c r="J15" s="85">
        <v>15</v>
      </c>
      <c r="K15" s="85"/>
      <c r="L15" s="85"/>
      <c r="M15" s="85"/>
      <c r="N15"/>
      <c r="O15" s="67">
        <v>15</v>
      </c>
      <c r="P15" s="68" t="s">
        <v>167</v>
      </c>
      <c r="Q15" s="70">
        <f>IFERROR(VLOOKUP($J$1,Representantes_IV[],$O15,0),"-")</f>
        <v>21</v>
      </c>
    </row>
    <row r="16" spans="2:17" x14ac:dyDescent="0.25">
      <c r="B16" s="71" t="str">
        <f>P11</f>
        <v>Demanda HIZENTRA</v>
      </c>
      <c r="C16" s="72">
        <f>Q16</f>
        <v>632</v>
      </c>
      <c r="D16" s="72">
        <v>910</v>
      </c>
      <c r="E16" s="73">
        <f>Q21</f>
        <v>1.44</v>
      </c>
      <c r="F16" s="73">
        <f>Q31</f>
        <v>0</v>
      </c>
      <c r="G16" s="74">
        <f>Q41</f>
        <v>1487.383</v>
      </c>
      <c r="I16" s="66" t="s">
        <v>335</v>
      </c>
      <c r="J16" s="85"/>
      <c r="K16" s="85">
        <v>3</v>
      </c>
      <c r="L16" s="85"/>
      <c r="M16" s="85"/>
      <c r="N16"/>
      <c r="O16" s="67">
        <v>16</v>
      </c>
      <c r="P16" s="68" t="s">
        <v>168</v>
      </c>
      <c r="Q16" s="70">
        <f>IFERROR(VLOOKUP($J$1,Representantes_IV[],$O16,0),"-")</f>
        <v>632</v>
      </c>
    </row>
    <row r="17" spans="2:17" x14ac:dyDescent="0.25">
      <c r="B17" s="71" t="str">
        <f>P12</f>
        <v>Demanda PRIVIGEN</v>
      </c>
      <c r="C17" s="72">
        <f>Q17</f>
        <v>4761.17</v>
      </c>
      <c r="D17" s="72">
        <v>1120</v>
      </c>
      <c r="E17" s="73">
        <f>Q22</f>
        <v>0.23599999999999999</v>
      </c>
      <c r="F17" s="73">
        <f>Q32</f>
        <v>0</v>
      </c>
      <c r="G17" s="74">
        <f>Q42</f>
        <v>0</v>
      </c>
      <c r="I17" s="66" t="s">
        <v>336</v>
      </c>
      <c r="J17" s="85"/>
      <c r="K17" s="85">
        <v>2</v>
      </c>
      <c r="L17" s="85"/>
      <c r="M17" s="85"/>
      <c r="N17"/>
      <c r="O17" s="67">
        <v>17</v>
      </c>
      <c r="P17" s="68" t="s">
        <v>169</v>
      </c>
      <c r="Q17" s="70">
        <f>IFERROR(VLOOKUP($J$1,Representantes_IV[],$O17,0),"-")</f>
        <v>4761.17</v>
      </c>
    </row>
    <row r="18" spans="2:17" x14ac:dyDescent="0.25">
      <c r="B18" s="71" t="s">
        <v>278</v>
      </c>
      <c r="C18" s="74">
        <f>Q43</f>
        <v>24875647.060000017</v>
      </c>
      <c r="D18" s="74">
        <f>Q44</f>
        <v>30797896.699999992</v>
      </c>
      <c r="E18" s="73">
        <f>Q45</f>
        <v>1.2389999999999999</v>
      </c>
      <c r="F18" s="76"/>
      <c r="G18" s="74">
        <f>Q46</f>
        <v>631.32569999999998</v>
      </c>
      <c r="I18" s="66" t="s">
        <v>337</v>
      </c>
      <c r="J18" s="85"/>
      <c r="K18" s="85"/>
      <c r="L18" s="85"/>
      <c r="M18" s="85">
        <v>750</v>
      </c>
      <c r="N18"/>
      <c r="O18" s="67">
        <v>18</v>
      </c>
      <c r="P18" s="68" t="s">
        <v>184</v>
      </c>
      <c r="Q18" s="75">
        <f>IFERROR(VLOOKUP($J$1,Representantes_IV[],$O18,0),"-")</f>
        <v>0</v>
      </c>
    </row>
    <row r="19" spans="2:17" x14ac:dyDescent="0.25">
      <c r="B19" s="71" t="s">
        <v>255</v>
      </c>
      <c r="C19" s="71">
        <f>Q47</f>
        <v>92</v>
      </c>
      <c r="D19" s="71">
        <f>Q48</f>
        <v>138</v>
      </c>
      <c r="E19" s="73">
        <f>Q49</f>
        <v>1.5</v>
      </c>
      <c r="F19" s="76"/>
      <c r="G19" s="74">
        <f>Q50</f>
        <v>1559.1016</v>
      </c>
      <c r="I19" s="66" t="s">
        <v>338</v>
      </c>
      <c r="J19" s="85"/>
      <c r="K19" s="85"/>
      <c r="L19" s="85"/>
      <c r="M19" s="85">
        <v>605</v>
      </c>
      <c r="N19"/>
      <c r="O19" s="67">
        <v>19</v>
      </c>
      <c r="P19" s="68" t="s">
        <v>185</v>
      </c>
      <c r="Q19" s="75">
        <f>IFERROR(VLOOKUP($J$1,Representantes_IV[],$O19,0),"-")</f>
        <v>7.0000000000000007E-2</v>
      </c>
    </row>
    <row r="20" spans="2:17" x14ac:dyDescent="0.25">
      <c r="B20" s="71" t="s">
        <v>274</v>
      </c>
      <c r="C20" s="89"/>
      <c r="D20" s="89"/>
      <c r="E20" s="73">
        <f>Q51</f>
        <v>1</v>
      </c>
      <c r="F20" s="90"/>
      <c r="G20" s="74">
        <f>Q52</f>
        <v>376.08229999999998</v>
      </c>
      <c r="I20" s="66" t="s">
        <v>339</v>
      </c>
      <c r="J20" s="85"/>
      <c r="K20" s="85"/>
      <c r="L20" s="85"/>
      <c r="M20" s="85">
        <v>30</v>
      </c>
      <c r="N20"/>
      <c r="O20" s="67">
        <v>20</v>
      </c>
      <c r="P20" s="68" t="s">
        <v>186</v>
      </c>
      <c r="Q20" s="75">
        <f>IFERROR(VLOOKUP($J$1,Representantes_IV[],$O20,0),"-")</f>
        <v>0.57199999999999995</v>
      </c>
    </row>
    <row r="21" spans="2:17" x14ac:dyDescent="0.25">
      <c r="B21" s="71" t="s">
        <v>275</v>
      </c>
      <c r="C21" s="89"/>
      <c r="D21" s="89"/>
      <c r="E21" s="73">
        <f>Q53</f>
        <v>1</v>
      </c>
      <c r="F21" s="90"/>
      <c r="G21" s="74">
        <f>Q54</f>
        <v>1128.2470000000001</v>
      </c>
      <c r="I21" s="66" t="s">
        <v>340</v>
      </c>
      <c r="J21" s="85">
        <v>4</v>
      </c>
      <c r="K21" s="85"/>
      <c r="L21" s="85"/>
      <c r="M21" s="85"/>
      <c r="N21"/>
      <c r="O21" s="67">
        <v>21</v>
      </c>
      <c r="P21" s="68" t="s">
        <v>187</v>
      </c>
      <c r="Q21" s="75">
        <f>IFERROR(VLOOKUP($J$1,Representantes_IV[],$O21,0),"-")</f>
        <v>1.44</v>
      </c>
    </row>
    <row r="22" spans="2:17" x14ac:dyDescent="0.25">
      <c r="B22" s="71" t="s">
        <v>276</v>
      </c>
      <c r="C22" s="89"/>
      <c r="D22" s="89"/>
      <c r="E22" s="73">
        <f>Q55</f>
        <v>1</v>
      </c>
      <c r="F22" s="90"/>
      <c r="G22" s="74">
        <f>Q56</f>
        <v>376.08229999999998</v>
      </c>
      <c r="I22" s="66" t="s">
        <v>341</v>
      </c>
      <c r="J22" s="85">
        <v>2</v>
      </c>
      <c r="K22" s="85">
        <v>17</v>
      </c>
      <c r="L22" s="85">
        <v>2</v>
      </c>
      <c r="M22" s="85">
        <v>1010</v>
      </c>
      <c r="N22"/>
      <c r="O22" s="67">
        <v>22</v>
      </c>
      <c r="P22" s="68" t="s">
        <v>188</v>
      </c>
      <c r="Q22" s="75">
        <f>IFERROR(VLOOKUP($J$1,Representantes_IV[],$O22,0),"-")</f>
        <v>0.23599999999999999</v>
      </c>
    </row>
    <row r="23" spans="2:17" x14ac:dyDescent="0.25">
      <c r="B23" s="71" t="s">
        <v>277</v>
      </c>
      <c r="C23" s="89"/>
      <c r="D23" s="89"/>
      <c r="E23" s="73">
        <f>Q57</f>
        <v>1</v>
      </c>
      <c r="F23" s="90"/>
      <c r="G23" s="74">
        <f>Q58</f>
        <v>376.08229999999998</v>
      </c>
      <c r="I23" s="66" t="s">
        <v>342</v>
      </c>
      <c r="J23" s="85"/>
      <c r="K23" s="85">
        <v>2</v>
      </c>
      <c r="L23" s="85"/>
      <c r="M23" s="85">
        <v>100</v>
      </c>
      <c r="N23"/>
      <c r="O23" s="67">
        <v>23</v>
      </c>
      <c r="P23" s="68" t="s">
        <v>224</v>
      </c>
      <c r="Q23" s="77">
        <f>IFERROR(VLOOKUP($J$1,Representantes_IV[],$O23,0),"-")</f>
        <v>0</v>
      </c>
    </row>
    <row r="24" spans="2:17" x14ac:dyDescent="0.25">
      <c r="I24" s="66" t="s">
        <v>343</v>
      </c>
      <c r="J24" s="85">
        <v>10</v>
      </c>
      <c r="K24" s="85"/>
      <c r="L24" s="85"/>
      <c r="M24" s="85"/>
      <c r="N24"/>
      <c r="O24" s="67">
        <v>24</v>
      </c>
      <c r="P24" s="68" t="s">
        <v>225</v>
      </c>
      <c r="Q24" s="77">
        <f>IFERROR(VLOOKUP($J$1,Representantes_IV[],$O24,0),"-")</f>
        <v>0</v>
      </c>
    </row>
    <row r="25" spans="2:17" ht="15.75" x14ac:dyDescent="0.25">
      <c r="B25" s="88" t="str">
        <f>"Demanda " &amp;C5</f>
        <v>Demanda 2020/2021 (01-Jul)</v>
      </c>
      <c r="I25" s="66" t="s">
        <v>344</v>
      </c>
      <c r="J25" s="85">
        <v>10</v>
      </c>
      <c r="K25" s="85">
        <v>15</v>
      </c>
      <c r="L25" s="85"/>
      <c r="M25" s="85"/>
      <c r="N25"/>
      <c r="O25" s="67">
        <v>25</v>
      </c>
      <c r="P25" s="68" t="s">
        <v>226</v>
      </c>
      <c r="Q25" s="77">
        <f>IFERROR(VLOOKUP($J$1,Representantes_IV[],$O25,0),"-")</f>
        <v>0</v>
      </c>
    </row>
    <row r="26" spans="2:17" x14ac:dyDescent="0.25">
      <c r="I26" s="66" t="s">
        <v>345</v>
      </c>
      <c r="J26" s="85"/>
      <c r="K26" s="85"/>
      <c r="L26" s="85"/>
      <c r="M26" s="85">
        <v>40</v>
      </c>
      <c r="N26"/>
      <c r="O26" s="67">
        <v>26</v>
      </c>
      <c r="P26" s="68" t="s">
        <v>227</v>
      </c>
      <c r="Q26" s="77">
        <f>IFERROR(VLOOKUP($J$1,Representantes_IV[],$O26,0),"-")</f>
        <v>1487.383</v>
      </c>
    </row>
    <row r="27" spans="2:17" x14ac:dyDescent="0.25">
      <c r="I27" s="66" t="s">
        <v>346</v>
      </c>
      <c r="J27" s="85">
        <v>6</v>
      </c>
      <c r="K27" s="85"/>
      <c r="L27" s="85"/>
      <c r="M27" s="85"/>
      <c r="N27"/>
      <c r="O27" s="67">
        <v>27</v>
      </c>
      <c r="P27" s="68" t="s">
        <v>228</v>
      </c>
      <c r="Q27" s="77">
        <f>IFERROR(VLOOKUP($J$1,Representantes_IV[],$O27,0),"-")</f>
        <v>0</v>
      </c>
    </row>
    <row r="28" spans="2:17" x14ac:dyDescent="0.25">
      <c r="I28" s="66" t="s">
        <v>347</v>
      </c>
      <c r="J28" s="85">
        <v>20</v>
      </c>
      <c r="K28" s="85">
        <v>4</v>
      </c>
      <c r="L28" s="85"/>
      <c r="M28" s="85"/>
      <c r="N28"/>
      <c r="O28" s="67">
        <v>28</v>
      </c>
      <c r="P28" s="68" t="s">
        <v>229</v>
      </c>
      <c r="Q28" s="75">
        <f>IFERROR(VLOOKUP($J$1,Representantes_IV[],$O28,0),"-")</f>
        <v>0</v>
      </c>
    </row>
    <row r="29" spans="2:17" x14ac:dyDescent="0.25">
      <c r="I29" s="66" t="s">
        <v>348</v>
      </c>
      <c r="J29" s="85">
        <v>5</v>
      </c>
      <c r="K29" s="85">
        <v>4</v>
      </c>
      <c r="L29" s="85"/>
      <c r="M29" s="85"/>
      <c r="N29"/>
      <c r="O29" s="67">
        <v>29</v>
      </c>
      <c r="P29" s="68" t="s">
        <v>230</v>
      </c>
      <c r="Q29" s="75">
        <f>IFERROR(VLOOKUP($J$1,Representantes_IV[],$O29,0),"-")</f>
        <v>0</v>
      </c>
    </row>
    <row r="30" spans="2:17" x14ac:dyDescent="0.25">
      <c r="I30" s="66" t="s">
        <v>349</v>
      </c>
      <c r="J30" s="85"/>
      <c r="K30" s="85"/>
      <c r="L30" s="85"/>
      <c r="M30" s="85">
        <v>1050</v>
      </c>
      <c r="N30"/>
      <c r="O30" s="67">
        <v>30</v>
      </c>
      <c r="P30" s="68" t="s">
        <v>231</v>
      </c>
      <c r="Q30" s="75">
        <f>IFERROR(VLOOKUP($J$1,Representantes_IV[],$O30,0),"-")</f>
        <v>0</v>
      </c>
    </row>
    <row r="31" spans="2:17" x14ac:dyDescent="0.25">
      <c r="I31" s="66" t="s">
        <v>350</v>
      </c>
      <c r="J31" s="85"/>
      <c r="K31" s="85"/>
      <c r="L31" s="85"/>
      <c r="M31" s="85">
        <v>5</v>
      </c>
      <c r="N31"/>
      <c r="O31" s="67">
        <v>31</v>
      </c>
      <c r="P31" s="68" t="s">
        <v>232</v>
      </c>
      <c r="Q31" s="75">
        <f>IFERROR(VLOOKUP($J$1,Representantes_IV[],$O31,0),"-")</f>
        <v>0</v>
      </c>
    </row>
    <row r="32" spans="2:17" x14ac:dyDescent="0.25">
      <c r="I32" s="66" t="s">
        <v>351</v>
      </c>
      <c r="J32" s="85"/>
      <c r="K32" s="85"/>
      <c r="L32" s="85">
        <v>8</v>
      </c>
      <c r="M32" s="85"/>
      <c r="N32"/>
      <c r="O32" s="67">
        <v>32</v>
      </c>
      <c r="P32" s="68" t="s">
        <v>233</v>
      </c>
      <c r="Q32" s="75">
        <f>IFERROR(VLOOKUP($J$1,Representantes_IV[],$O32,0),"-")</f>
        <v>0</v>
      </c>
    </row>
    <row r="33" spans="9:17" x14ac:dyDescent="0.25">
      <c r="I33" s="66" t="s">
        <v>352</v>
      </c>
      <c r="J33" s="85"/>
      <c r="K33" s="85"/>
      <c r="L33" s="85">
        <v>500</v>
      </c>
      <c r="M33" s="85"/>
      <c r="N33"/>
      <c r="O33" s="67">
        <v>33</v>
      </c>
      <c r="P33" s="68" t="s">
        <v>207</v>
      </c>
      <c r="Q33" s="77">
        <f>IFERROR(VLOOKUP($J$1,Representantes_IV[],$O33,0),"-")</f>
        <v>0</v>
      </c>
    </row>
    <row r="34" spans="9:17" x14ac:dyDescent="0.25">
      <c r="I34" s="66" t="s">
        <v>353</v>
      </c>
      <c r="J34" s="85"/>
      <c r="K34" s="85"/>
      <c r="L34" s="85"/>
      <c r="M34" s="85">
        <v>1150</v>
      </c>
      <c r="N34"/>
      <c r="O34" s="67">
        <v>34</v>
      </c>
      <c r="P34" s="68" t="s">
        <v>208</v>
      </c>
      <c r="Q34" s="77">
        <f>IFERROR(VLOOKUP($J$1,Representantes_IV[],$O34,0),"-")</f>
        <v>0</v>
      </c>
    </row>
    <row r="35" spans="9:17" x14ac:dyDescent="0.25">
      <c r="I35" s="66" t="s">
        <v>354</v>
      </c>
      <c r="J35" s="85"/>
      <c r="K35" s="85"/>
      <c r="L35" s="85">
        <v>54</v>
      </c>
      <c r="M35" s="85">
        <v>30</v>
      </c>
      <c r="N35"/>
      <c r="O35" s="67">
        <v>35</v>
      </c>
      <c r="P35" s="68" t="s">
        <v>210</v>
      </c>
      <c r="Q35" s="77">
        <f>IFERROR(VLOOKUP($J$1,Representantes_IV[],$O35,0),"-")</f>
        <v>0</v>
      </c>
    </row>
    <row r="36" spans="9:17" x14ac:dyDescent="0.25">
      <c r="I36" s="66" t="s">
        <v>355</v>
      </c>
      <c r="J36" s="85"/>
      <c r="K36" s="85"/>
      <c r="L36" s="85">
        <v>3</v>
      </c>
      <c r="M36" s="85"/>
      <c r="N36"/>
      <c r="O36" s="67">
        <v>36</v>
      </c>
      <c r="P36" s="68" t="s">
        <v>209</v>
      </c>
      <c r="Q36" s="77">
        <f>IFERROR(VLOOKUP($J$1,Representantes_IV[],$O36,0),"-")</f>
        <v>0</v>
      </c>
    </row>
    <row r="37" spans="9:17" x14ac:dyDescent="0.25">
      <c r="I37" s="66" t="s">
        <v>356</v>
      </c>
      <c r="J37" s="85">
        <v>3</v>
      </c>
      <c r="K37" s="85"/>
      <c r="L37" s="85"/>
      <c r="M37" s="85">
        <v>10</v>
      </c>
      <c r="N37"/>
      <c r="O37" s="67">
        <v>37</v>
      </c>
      <c r="P37" s="68" t="s">
        <v>211</v>
      </c>
      <c r="Q37" s="77">
        <f>IFERROR(VLOOKUP($J$1,Representantes_IV[],$O37,0),"-")</f>
        <v>0</v>
      </c>
    </row>
    <row r="38" spans="9:17" x14ac:dyDescent="0.25">
      <c r="I38" s="66" t="s">
        <v>357</v>
      </c>
      <c r="J38" s="85"/>
      <c r="K38" s="85"/>
      <c r="L38" s="85"/>
      <c r="M38" s="85">
        <v>15</v>
      </c>
      <c r="N38"/>
      <c r="O38" s="67">
        <v>38</v>
      </c>
      <c r="P38" s="68" t="s">
        <v>189</v>
      </c>
      <c r="Q38" s="77">
        <f>IFERROR(VLOOKUP($J$1,Representantes_IV[],$O38,0),"-")</f>
        <v>0</v>
      </c>
    </row>
    <row r="39" spans="9:17" x14ac:dyDescent="0.25">
      <c r="I39" s="66" t="s">
        <v>358</v>
      </c>
      <c r="J39" s="85"/>
      <c r="K39" s="85"/>
      <c r="L39" s="85">
        <v>12</v>
      </c>
      <c r="M39" s="85"/>
      <c r="N39"/>
      <c r="O39" s="67">
        <v>39</v>
      </c>
      <c r="P39" s="68" t="s">
        <v>190</v>
      </c>
      <c r="Q39" s="77">
        <f>IFERROR(VLOOKUP($J$1,Representantes_IV[],$O39,0),"-")</f>
        <v>0</v>
      </c>
    </row>
    <row r="40" spans="9:17" x14ac:dyDescent="0.25">
      <c r="I40" s="66" t="s">
        <v>359</v>
      </c>
      <c r="J40" s="85"/>
      <c r="K40" s="85"/>
      <c r="L40" s="85">
        <v>36</v>
      </c>
      <c r="M40" s="85"/>
      <c r="N40"/>
      <c r="O40" s="67">
        <v>40</v>
      </c>
      <c r="P40" s="68" t="s">
        <v>191</v>
      </c>
      <c r="Q40" s="77">
        <f>IFERROR(VLOOKUP($J$1,Representantes_IV[],$O40,0),"-")</f>
        <v>0</v>
      </c>
    </row>
    <row r="41" spans="9:17" x14ac:dyDescent="0.25">
      <c r="I41" s="66" t="s">
        <v>360</v>
      </c>
      <c r="J41" s="85"/>
      <c r="K41" s="85">
        <v>10</v>
      </c>
      <c r="L41" s="85"/>
      <c r="M41" s="85"/>
      <c r="N41"/>
      <c r="O41" s="67">
        <v>41</v>
      </c>
      <c r="P41" s="68" t="s">
        <v>192</v>
      </c>
      <c r="Q41" s="77">
        <f>IFERROR(VLOOKUP($J$1,Representantes_IV[],$O41,0),"-")</f>
        <v>1487.383</v>
      </c>
    </row>
    <row r="42" spans="9:17" x14ac:dyDescent="0.25">
      <c r="I42" s="66" t="s">
        <v>361</v>
      </c>
      <c r="J42" s="85"/>
      <c r="K42" s="85">
        <v>3</v>
      </c>
      <c r="L42" s="85"/>
      <c r="M42" s="85"/>
      <c r="N42"/>
      <c r="O42" s="67">
        <v>42</v>
      </c>
      <c r="P42" s="68" t="s">
        <v>193</v>
      </c>
      <c r="Q42" s="77">
        <f>IFERROR(VLOOKUP($J$1,Representantes_IV[],$O42,0),"-")</f>
        <v>0</v>
      </c>
    </row>
    <row r="43" spans="9:17" x14ac:dyDescent="0.25">
      <c r="I43" s="66" t="s">
        <v>362</v>
      </c>
      <c r="J43" s="85"/>
      <c r="K43" s="85"/>
      <c r="L43" s="85">
        <v>72</v>
      </c>
      <c r="M43" s="85"/>
      <c r="N43"/>
      <c r="O43" s="67">
        <v>43</v>
      </c>
      <c r="P43" s="68" t="s">
        <v>241</v>
      </c>
      <c r="Q43" s="77">
        <f>IFERROR(VLOOKUP($J$1,Representantes_IV[],$O43,0),"-")</f>
        <v>24875647.060000017</v>
      </c>
    </row>
    <row r="44" spans="9:17" x14ac:dyDescent="0.25">
      <c r="I44" s="66" t="s">
        <v>363</v>
      </c>
      <c r="J44" s="85"/>
      <c r="K44" s="85"/>
      <c r="L44" s="85">
        <v>116</v>
      </c>
      <c r="M44" s="85"/>
      <c r="N44"/>
      <c r="O44" s="67">
        <v>44</v>
      </c>
      <c r="P44" s="68" t="s">
        <v>242</v>
      </c>
      <c r="Q44" s="77">
        <f>IFERROR(VLOOKUP($J$1,Representantes_IV[],$O44,0),"-")</f>
        <v>30797896.699999992</v>
      </c>
    </row>
    <row r="45" spans="9:17" x14ac:dyDescent="0.25">
      <c r="I45" s="66" t="s">
        <v>268</v>
      </c>
      <c r="J45" s="85">
        <v>75</v>
      </c>
      <c r="K45" s="85">
        <v>60</v>
      </c>
      <c r="L45" s="85">
        <v>910</v>
      </c>
      <c r="M45" s="85">
        <v>5387.5</v>
      </c>
      <c r="N45"/>
      <c r="O45" s="67">
        <v>45</v>
      </c>
      <c r="P45" s="68" t="s">
        <v>243</v>
      </c>
      <c r="Q45" s="75">
        <f>IFERROR(VLOOKUP($J$1,Representantes_IV[],$O45,0),"-")</f>
        <v>1.2389999999999999</v>
      </c>
    </row>
    <row r="46" spans="9:17" x14ac:dyDescent="0.25">
      <c r="I46"/>
      <c r="J46"/>
      <c r="K46"/>
      <c r="L46"/>
      <c r="M46"/>
      <c r="N46"/>
      <c r="O46" s="67">
        <v>46</v>
      </c>
      <c r="P46" s="68" t="s">
        <v>244</v>
      </c>
      <c r="Q46" s="77">
        <f>IFERROR(VLOOKUP($J$1,Representantes_IV[],$O46,0),"-")</f>
        <v>631.32569999999998</v>
      </c>
    </row>
    <row r="47" spans="9:17" x14ac:dyDescent="0.25">
      <c r="I47"/>
      <c r="J47"/>
      <c r="K47"/>
      <c r="L47"/>
      <c r="M47"/>
      <c r="N47"/>
      <c r="O47" s="67">
        <v>47</v>
      </c>
      <c r="P47" s="68" t="s">
        <v>254</v>
      </c>
      <c r="Q47" s="70">
        <f>IFERROR(VLOOKUP($J$1,Representantes_IV[],$O47,0),"-")</f>
        <v>92</v>
      </c>
    </row>
    <row r="48" spans="9:17" x14ac:dyDescent="0.25">
      <c r="I48"/>
      <c r="J48"/>
      <c r="K48"/>
      <c r="L48"/>
      <c r="M48"/>
      <c r="N48"/>
      <c r="O48" s="67">
        <v>48</v>
      </c>
      <c r="P48" s="68" t="s">
        <v>255</v>
      </c>
      <c r="Q48" s="70">
        <f>IFERROR(VLOOKUP($J$1,Representantes_IV[],$O48,0),"-")</f>
        <v>138</v>
      </c>
    </row>
    <row r="49" spans="9:17" x14ac:dyDescent="0.25">
      <c r="I49"/>
      <c r="J49"/>
      <c r="K49"/>
      <c r="L49"/>
      <c r="M49"/>
      <c r="N49"/>
      <c r="O49" s="67">
        <v>49</v>
      </c>
      <c r="P49" s="68" t="s">
        <v>256</v>
      </c>
      <c r="Q49" s="75">
        <f>IFERROR(VLOOKUP($J$1,Representantes_IV[],$O49,0),"-")</f>
        <v>1.5</v>
      </c>
    </row>
    <row r="50" spans="9:17" x14ac:dyDescent="0.25">
      <c r="I50"/>
      <c r="J50"/>
      <c r="K50"/>
      <c r="L50"/>
      <c r="M50"/>
      <c r="N50"/>
      <c r="O50" s="67">
        <v>50</v>
      </c>
      <c r="P50" s="68" t="s">
        <v>257</v>
      </c>
      <c r="Q50" s="77">
        <f>IFERROR(VLOOKUP($J$1,Representantes_IV[],$O50,0),"-")</f>
        <v>1559.1016</v>
      </c>
    </row>
    <row r="51" spans="9:17" x14ac:dyDescent="0.25">
      <c r="I51"/>
      <c r="J51"/>
      <c r="K51"/>
      <c r="L51"/>
      <c r="M51"/>
      <c r="N51"/>
      <c r="O51" s="67">
        <v>51</v>
      </c>
      <c r="P51" s="68" t="s">
        <v>258</v>
      </c>
      <c r="Q51" s="75">
        <f>IFERROR(VLOOKUP($J$1,Representantes_IV[],$O51,0),"-")</f>
        <v>1</v>
      </c>
    </row>
    <row r="52" spans="9:17" x14ac:dyDescent="0.25">
      <c r="I52"/>
      <c r="J52"/>
      <c r="K52"/>
      <c r="L52"/>
      <c r="M52"/>
      <c r="N52"/>
      <c r="O52" s="67">
        <v>52</v>
      </c>
      <c r="P52" s="68" t="s">
        <v>262</v>
      </c>
      <c r="Q52" s="77">
        <f>IFERROR(VLOOKUP($J$1,Representantes_IV[],$O52,0),"-")</f>
        <v>376.08229999999998</v>
      </c>
    </row>
    <row r="53" spans="9:17" x14ac:dyDescent="0.25">
      <c r="I53"/>
      <c r="J53"/>
      <c r="K53"/>
      <c r="L53"/>
      <c r="M53"/>
      <c r="N53"/>
      <c r="O53" s="67">
        <v>53</v>
      </c>
      <c r="P53" s="68" t="s">
        <v>259</v>
      </c>
      <c r="Q53" s="75">
        <f>IFERROR(VLOOKUP($J$1,Representantes_IV[],$O53,0),"-")</f>
        <v>1</v>
      </c>
    </row>
    <row r="54" spans="9:17" x14ac:dyDescent="0.25">
      <c r="I54"/>
      <c r="J54"/>
      <c r="K54"/>
      <c r="L54"/>
      <c r="M54"/>
      <c r="N54"/>
      <c r="O54" s="67">
        <v>54</v>
      </c>
      <c r="P54" s="68" t="s">
        <v>263</v>
      </c>
      <c r="Q54" s="77">
        <f>IFERROR(VLOOKUP($J$1,Representantes_IV[],$O54,0),"-")</f>
        <v>1128.2470000000001</v>
      </c>
    </row>
    <row r="55" spans="9:17" x14ac:dyDescent="0.25">
      <c r="I55"/>
      <c r="J55"/>
      <c r="K55"/>
      <c r="L55"/>
      <c r="M55"/>
      <c r="N55"/>
      <c r="O55" s="67">
        <v>55</v>
      </c>
      <c r="P55" s="68" t="s">
        <v>260</v>
      </c>
      <c r="Q55" s="75">
        <f>IFERROR(VLOOKUP($J$1,Representantes_IV[],$O55,0),"-")</f>
        <v>1</v>
      </c>
    </row>
    <row r="56" spans="9:17" x14ac:dyDescent="0.25">
      <c r="I56"/>
      <c r="J56"/>
      <c r="K56"/>
      <c r="L56"/>
      <c r="M56"/>
      <c r="N56"/>
      <c r="O56" s="67">
        <v>56</v>
      </c>
      <c r="P56" s="68" t="s">
        <v>264</v>
      </c>
      <c r="Q56" s="77">
        <f>IFERROR(VLOOKUP($J$1,Representantes_IV[],$O56,0),"-")</f>
        <v>376.08229999999998</v>
      </c>
    </row>
    <row r="57" spans="9:17" x14ac:dyDescent="0.25">
      <c r="I57"/>
      <c r="J57"/>
      <c r="K57"/>
      <c r="L57"/>
      <c r="M57"/>
      <c r="N57"/>
      <c r="O57" s="67">
        <v>57</v>
      </c>
      <c r="P57" s="68" t="s">
        <v>261</v>
      </c>
      <c r="Q57" s="75">
        <f>IFERROR(VLOOKUP($J$1,Representantes_IV[],$O57,0),"-")</f>
        <v>1</v>
      </c>
    </row>
    <row r="58" spans="9:17" x14ac:dyDescent="0.25">
      <c r="I58"/>
      <c r="J58"/>
      <c r="K58"/>
      <c r="L58"/>
      <c r="M58"/>
      <c r="N58"/>
      <c r="O58" s="67">
        <v>58</v>
      </c>
      <c r="P58" s="68" t="s">
        <v>265</v>
      </c>
      <c r="Q58" s="77">
        <f>IFERROR(VLOOKUP($J$1,Representantes_IV[],$O58,0),"-")</f>
        <v>376.08229999999998</v>
      </c>
    </row>
    <row r="59" spans="9:17" x14ac:dyDescent="0.25">
      <c r="I59"/>
      <c r="J59"/>
      <c r="K59"/>
      <c r="L59"/>
      <c r="M59"/>
      <c r="N59"/>
      <c r="O59" s="67">
        <v>59</v>
      </c>
      <c r="P59" s="68" t="s">
        <v>266</v>
      </c>
      <c r="Q59" s="77">
        <f>IFERROR(VLOOKUP($J$1,Representantes_IV[],$O59,0),"-")</f>
        <v>5934.3042000000005</v>
      </c>
    </row>
    <row r="60" spans="9:17" x14ac:dyDescent="0.25">
      <c r="I60"/>
      <c r="J60"/>
      <c r="K60"/>
      <c r="L60"/>
      <c r="M60"/>
      <c r="N60"/>
    </row>
    <row r="61" spans="9:17" x14ac:dyDescent="0.25">
      <c r="I61"/>
      <c r="J61"/>
      <c r="K61"/>
      <c r="L61"/>
      <c r="M61"/>
      <c r="N61"/>
    </row>
    <row r="62" spans="9:17" x14ac:dyDescent="0.25">
      <c r="I62"/>
      <c r="J62"/>
      <c r="K62"/>
      <c r="L62"/>
      <c r="M62"/>
      <c r="N62"/>
    </row>
    <row r="63" spans="9:17" x14ac:dyDescent="0.25">
      <c r="I63"/>
      <c r="J63"/>
      <c r="K63"/>
      <c r="L63"/>
      <c r="M63"/>
      <c r="N63"/>
    </row>
    <row r="64" spans="9:17" x14ac:dyDescent="0.25">
      <c r="I64"/>
      <c r="J64"/>
      <c r="K64"/>
      <c r="L64"/>
      <c r="M64"/>
      <c r="N64"/>
    </row>
    <row r="65" spans="9:14" x14ac:dyDescent="0.25">
      <c r="I65"/>
      <c r="J65"/>
      <c r="K65"/>
      <c r="L65"/>
      <c r="M65"/>
      <c r="N65"/>
    </row>
    <row r="66" spans="9:14" x14ac:dyDescent="0.25">
      <c r="I66"/>
      <c r="J66"/>
      <c r="K66"/>
      <c r="L66"/>
      <c r="M66"/>
      <c r="N66"/>
    </row>
    <row r="67" spans="9:14" x14ac:dyDescent="0.25">
      <c r="I67"/>
      <c r="J67"/>
      <c r="K67"/>
      <c r="L67"/>
      <c r="M67"/>
      <c r="N67"/>
    </row>
    <row r="68" spans="9:14" x14ac:dyDescent="0.25">
      <c r="I68"/>
      <c r="J68"/>
      <c r="K68"/>
      <c r="L68"/>
      <c r="M68"/>
      <c r="N68"/>
    </row>
    <row r="69" spans="9:14" x14ac:dyDescent="0.25">
      <c r="I69"/>
      <c r="J69"/>
      <c r="K69"/>
      <c r="L69"/>
      <c r="M69"/>
      <c r="N69"/>
    </row>
    <row r="70" spans="9:14" x14ac:dyDescent="0.25">
      <c r="I70"/>
      <c r="J70"/>
      <c r="K70"/>
      <c r="L70"/>
      <c r="M70"/>
      <c r="N70"/>
    </row>
    <row r="71" spans="9:14" x14ac:dyDescent="0.25">
      <c r="I71"/>
      <c r="J71"/>
      <c r="K71"/>
      <c r="L71"/>
      <c r="M71"/>
      <c r="N71"/>
    </row>
    <row r="72" spans="9:14" x14ac:dyDescent="0.25">
      <c r="I72"/>
      <c r="J72"/>
      <c r="K72"/>
      <c r="L72"/>
      <c r="M72"/>
      <c r="N72"/>
    </row>
    <row r="73" spans="9:14" x14ac:dyDescent="0.25">
      <c r="I73"/>
      <c r="J73"/>
      <c r="K73"/>
      <c r="L73"/>
      <c r="M73"/>
      <c r="N73"/>
    </row>
    <row r="74" spans="9:14" x14ac:dyDescent="0.25">
      <c r="I74"/>
      <c r="J74"/>
      <c r="K74"/>
      <c r="L74"/>
      <c r="M74"/>
      <c r="N74"/>
    </row>
    <row r="75" spans="9:14" x14ac:dyDescent="0.25">
      <c r="I75"/>
      <c r="J75"/>
      <c r="K75"/>
      <c r="L75"/>
      <c r="M75"/>
      <c r="N75"/>
    </row>
    <row r="76" spans="9:14" x14ac:dyDescent="0.25">
      <c r="I76"/>
      <c r="J76"/>
      <c r="K76"/>
      <c r="L76"/>
      <c r="M76"/>
      <c r="N76"/>
    </row>
    <row r="77" spans="9:14" x14ac:dyDescent="0.25">
      <c r="I77"/>
      <c r="J77"/>
      <c r="K77"/>
      <c r="L77"/>
      <c r="M77"/>
      <c r="N77"/>
    </row>
    <row r="78" spans="9:14" x14ac:dyDescent="0.25">
      <c r="I78"/>
      <c r="J78"/>
      <c r="K78"/>
      <c r="L78"/>
      <c r="M78"/>
      <c r="N78"/>
    </row>
    <row r="79" spans="9:14" x14ac:dyDescent="0.25">
      <c r="I79"/>
      <c r="J79"/>
      <c r="K79"/>
      <c r="L79"/>
      <c r="M79"/>
      <c r="N79"/>
    </row>
    <row r="80" spans="9:14" x14ac:dyDescent="0.25">
      <c r="I80"/>
      <c r="J80"/>
      <c r="K80"/>
      <c r="L80"/>
      <c r="M80"/>
      <c r="N80"/>
    </row>
    <row r="81" spans="9:14" x14ac:dyDescent="0.25">
      <c r="I81"/>
      <c r="J81"/>
      <c r="K81"/>
      <c r="L81"/>
      <c r="M81"/>
      <c r="N81"/>
    </row>
    <row r="82" spans="9:14" x14ac:dyDescent="0.25">
      <c r="I82"/>
      <c r="J82"/>
      <c r="K82"/>
      <c r="L82"/>
      <c r="M82"/>
      <c r="N82"/>
    </row>
    <row r="83" spans="9:14" x14ac:dyDescent="0.25">
      <c r="I83"/>
      <c r="J83"/>
      <c r="K83"/>
      <c r="L83"/>
      <c r="M83"/>
      <c r="N83"/>
    </row>
    <row r="84" spans="9:14" x14ac:dyDescent="0.25">
      <c r="I84"/>
      <c r="J84"/>
      <c r="K84"/>
      <c r="L84"/>
      <c r="M84"/>
      <c r="N84"/>
    </row>
    <row r="85" spans="9:14" x14ac:dyDescent="0.25">
      <c r="I85"/>
      <c r="J85"/>
      <c r="K85"/>
      <c r="L85"/>
      <c r="M85"/>
      <c r="N85"/>
    </row>
    <row r="86" spans="9:14" x14ac:dyDescent="0.25">
      <c r="I86"/>
      <c r="J86"/>
      <c r="K86"/>
      <c r="L86"/>
      <c r="M86"/>
      <c r="N86"/>
    </row>
    <row r="87" spans="9:14" x14ac:dyDescent="0.25">
      <c r="I87"/>
      <c r="J87"/>
      <c r="K87"/>
      <c r="L87"/>
      <c r="M87"/>
      <c r="N87"/>
    </row>
    <row r="88" spans="9:14" x14ac:dyDescent="0.25">
      <c r="I88"/>
      <c r="J88"/>
      <c r="K88"/>
      <c r="L88"/>
      <c r="M88"/>
      <c r="N88"/>
    </row>
    <row r="89" spans="9:14" x14ac:dyDescent="0.25">
      <c r="I89"/>
      <c r="J89"/>
      <c r="K89"/>
      <c r="L89"/>
      <c r="M89"/>
      <c r="N89"/>
    </row>
    <row r="90" spans="9:14" x14ac:dyDescent="0.25">
      <c r="I90"/>
      <c r="J90"/>
      <c r="K90"/>
      <c r="L90"/>
      <c r="M90"/>
      <c r="N90"/>
    </row>
    <row r="91" spans="9:14" x14ac:dyDescent="0.25">
      <c r="I91"/>
      <c r="J91"/>
      <c r="K91"/>
      <c r="L91"/>
      <c r="M91"/>
      <c r="N91"/>
    </row>
    <row r="92" spans="9:14" x14ac:dyDescent="0.25">
      <c r="I92"/>
      <c r="J92"/>
      <c r="K92"/>
      <c r="L92"/>
      <c r="M92"/>
      <c r="N92"/>
    </row>
    <row r="93" spans="9:14" x14ac:dyDescent="0.25">
      <c r="I93"/>
      <c r="J93"/>
      <c r="K93"/>
      <c r="L93"/>
      <c r="M93"/>
      <c r="N93"/>
    </row>
    <row r="94" spans="9:14" x14ac:dyDescent="0.25">
      <c r="I94"/>
      <c r="J94"/>
      <c r="K94"/>
      <c r="L94"/>
      <c r="M94"/>
      <c r="N94"/>
    </row>
    <row r="95" spans="9:14" x14ac:dyDescent="0.25">
      <c r="I95"/>
      <c r="J95"/>
      <c r="K95"/>
      <c r="L95"/>
      <c r="M95"/>
      <c r="N95"/>
    </row>
    <row r="96" spans="9:14" x14ac:dyDescent="0.25">
      <c r="I96"/>
      <c r="J96"/>
      <c r="K96"/>
      <c r="L96"/>
      <c r="M96"/>
      <c r="N96"/>
    </row>
    <row r="97" spans="9:14" x14ac:dyDescent="0.25">
      <c r="I97"/>
      <c r="J97"/>
      <c r="K97"/>
      <c r="L97"/>
      <c r="M97"/>
      <c r="N97"/>
    </row>
    <row r="98" spans="9:14" x14ac:dyDescent="0.25">
      <c r="I98"/>
      <c r="J98"/>
      <c r="K98"/>
      <c r="L98"/>
      <c r="M98"/>
      <c r="N98"/>
    </row>
    <row r="99" spans="9:14" x14ac:dyDescent="0.25">
      <c r="I99"/>
      <c r="J99"/>
      <c r="K99"/>
      <c r="L99"/>
      <c r="M99"/>
      <c r="N99"/>
    </row>
    <row r="100" spans="9:14" x14ac:dyDescent="0.25">
      <c r="I100"/>
      <c r="J100"/>
      <c r="K100"/>
      <c r="L100"/>
      <c r="M100"/>
      <c r="N100"/>
    </row>
    <row r="101" spans="9:14" x14ac:dyDescent="0.25">
      <c r="I101"/>
      <c r="J101"/>
      <c r="K101"/>
      <c r="L101"/>
      <c r="M101"/>
      <c r="N101"/>
    </row>
    <row r="102" spans="9:14" x14ac:dyDescent="0.25">
      <c r="I102"/>
      <c r="J102"/>
      <c r="K102"/>
      <c r="L102"/>
      <c r="M102"/>
      <c r="N102"/>
    </row>
    <row r="103" spans="9:14" x14ac:dyDescent="0.25">
      <c r="I103"/>
      <c r="J103"/>
      <c r="K103"/>
      <c r="L103"/>
      <c r="M103"/>
      <c r="N103"/>
    </row>
    <row r="104" spans="9:14" x14ac:dyDescent="0.25">
      <c r="I104"/>
      <c r="J104"/>
      <c r="K104"/>
      <c r="L104"/>
      <c r="M104"/>
      <c r="N104"/>
    </row>
    <row r="105" spans="9:14" x14ac:dyDescent="0.25">
      <c r="I105"/>
      <c r="J105"/>
      <c r="K105"/>
      <c r="L105"/>
      <c r="M105"/>
      <c r="N105"/>
    </row>
    <row r="106" spans="9:14" x14ac:dyDescent="0.25">
      <c r="I106"/>
      <c r="J106"/>
      <c r="K106"/>
      <c r="L106"/>
      <c r="M106"/>
      <c r="N106"/>
    </row>
    <row r="107" spans="9:14" x14ac:dyDescent="0.25">
      <c r="I107"/>
      <c r="J107"/>
      <c r="K107"/>
      <c r="L107"/>
      <c r="M107"/>
      <c r="N107"/>
    </row>
    <row r="108" spans="9:14" x14ac:dyDescent="0.25">
      <c r="I108"/>
      <c r="J108"/>
      <c r="K108"/>
      <c r="L108"/>
      <c r="M108"/>
      <c r="N108"/>
    </row>
    <row r="109" spans="9:14" x14ac:dyDescent="0.25">
      <c r="I109"/>
      <c r="J109"/>
      <c r="K109"/>
      <c r="L109"/>
      <c r="M109"/>
      <c r="N109"/>
    </row>
    <row r="110" spans="9:14" x14ac:dyDescent="0.25">
      <c r="I110"/>
      <c r="J110"/>
      <c r="K110"/>
      <c r="L110"/>
      <c r="M110"/>
      <c r="N110"/>
    </row>
    <row r="111" spans="9:14" x14ac:dyDescent="0.25">
      <c r="I111"/>
      <c r="J111"/>
      <c r="K111"/>
      <c r="L111"/>
      <c r="M111"/>
      <c r="N111"/>
    </row>
    <row r="112" spans="9:14" x14ac:dyDescent="0.25">
      <c r="I112"/>
      <c r="J112"/>
      <c r="K112"/>
      <c r="L112"/>
      <c r="M112"/>
      <c r="N112"/>
    </row>
    <row r="113" spans="9:14" x14ac:dyDescent="0.25">
      <c r="I113"/>
      <c r="J113"/>
      <c r="K113"/>
      <c r="L113"/>
      <c r="M113"/>
      <c r="N113"/>
    </row>
    <row r="114" spans="9:14" x14ac:dyDescent="0.25">
      <c r="I114"/>
      <c r="J114"/>
      <c r="K114"/>
      <c r="L114"/>
      <c r="M114"/>
      <c r="N114"/>
    </row>
    <row r="115" spans="9:14" x14ac:dyDescent="0.25">
      <c r="I115"/>
      <c r="J115"/>
      <c r="K115"/>
      <c r="L115"/>
      <c r="M115"/>
      <c r="N115"/>
    </row>
    <row r="116" spans="9:14" x14ac:dyDescent="0.25">
      <c r="I116"/>
      <c r="J116"/>
      <c r="K116"/>
      <c r="L116"/>
      <c r="M116"/>
      <c r="N116"/>
    </row>
    <row r="117" spans="9:14" x14ac:dyDescent="0.25">
      <c r="I117"/>
      <c r="J117"/>
      <c r="K117"/>
      <c r="L117"/>
      <c r="M117"/>
      <c r="N117"/>
    </row>
    <row r="118" spans="9:14" x14ac:dyDescent="0.25">
      <c r="I118"/>
      <c r="J118"/>
      <c r="K118"/>
      <c r="L118"/>
      <c r="M118"/>
      <c r="N118"/>
    </row>
    <row r="119" spans="9:14" x14ac:dyDescent="0.25">
      <c r="I119"/>
      <c r="J119"/>
      <c r="K119"/>
      <c r="L119"/>
      <c r="M119"/>
      <c r="N119"/>
    </row>
    <row r="120" spans="9:14" x14ac:dyDescent="0.25">
      <c r="I120"/>
      <c r="J120"/>
      <c r="K120"/>
      <c r="L120"/>
      <c r="M120"/>
      <c r="N120"/>
    </row>
    <row r="121" spans="9:14" x14ac:dyDescent="0.25">
      <c r="I121"/>
      <c r="J121"/>
      <c r="K121"/>
      <c r="L121"/>
      <c r="M121"/>
      <c r="N121"/>
    </row>
    <row r="122" spans="9:14" x14ac:dyDescent="0.25">
      <c r="I122"/>
      <c r="J122"/>
      <c r="K122"/>
      <c r="L122"/>
      <c r="M122"/>
      <c r="N122"/>
    </row>
    <row r="123" spans="9:14" x14ac:dyDescent="0.25">
      <c r="I123"/>
      <c r="J123"/>
      <c r="K123"/>
      <c r="L123"/>
      <c r="M123"/>
      <c r="N123"/>
    </row>
    <row r="124" spans="9:14" x14ac:dyDescent="0.25">
      <c r="I124"/>
      <c r="J124"/>
      <c r="K124"/>
      <c r="L124"/>
      <c r="M124"/>
      <c r="N124"/>
    </row>
    <row r="125" spans="9:14" x14ac:dyDescent="0.25">
      <c r="I125"/>
      <c r="J125"/>
      <c r="K125"/>
      <c r="L125"/>
      <c r="M125"/>
      <c r="N125"/>
    </row>
    <row r="126" spans="9:14" x14ac:dyDescent="0.25">
      <c r="I126"/>
      <c r="J126"/>
      <c r="K126"/>
      <c r="L126"/>
      <c r="M126"/>
      <c r="N126"/>
    </row>
    <row r="127" spans="9:14" x14ac:dyDescent="0.25">
      <c r="I127"/>
      <c r="J127"/>
      <c r="K127"/>
      <c r="L127"/>
      <c r="M127"/>
      <c r="N127"/>
    </row>
    <row r="128" spans="9:14" x14ac:dyDescent="0.25">
      <c r="I128"/>
      <c r="J128"/>
      <c r="K128"/>
      <c r="L128"/>
      <c r="M128"/>
      <c r="N128"/>
    </row>
    <row r="129" spans="9:14" x14ac:dyDescent="0.25">
      <c r="I129"/>
      <c r="J129"/>
      <c r="K129"/>
      <c r="L129"/>
      <c r="M129"/>
      <c r="N129"/>
    </row>
    <row r="130" spans="9:14" x14ac:dyDescent="0.25">
      <c r="I130"/>
      <c r="J130"/>
      <c r="K130"/>
      <c r="L130"/>
      <c r="M130"/>
      <c r="N130"/>
    </row>
    <row r="131" spans="9:14" x14ac:dyDescent="0.25">
      <c r="I131"/>
      <c r="J131"/>
      <c r="K131"/>
      <c r="L131"/>
      <c r="M131"/>
      <c r="N131"/>
    </row>
    <row r="132" spans="9:14" x14ac:dyDescent="0.25">
      <c r="I132"/>
      <c r="J132"/>
      <c r="K132"/>
      <c r="L132"/>
      <c r="M132"/>
      <c r="N132"/>
    </row>
    <row r="133" spans="9:14" x14ac:dyDescent="0.25">
      <c r="I133"/>
      <c r="J133"/>
      <c r="K133"/>
      <c r="L133"/>
      <c r="M133"/>
      <c r="N133"/>
    </row>
    <row r="134" spans="9:14" x14ac:dyDescent="0.25">
      <c r="I134"/>
      <c r="J134"/>
      <c r="K134"/>
      <c r="L134"/>
      <c r="M134"/>
      <c r="N134"/>
    </row>
    <row r="135" spans="9:14" x14ac:dyDescent="0.25">
      <c r="I135"/>
      <c r="J135"/>
      <c r="K135"/>
      <c r="L135"/>
      <c r="M135"/>
      <c r="N135"/>
    </row>
    <row r="136" spans="9:14" x14ac:dyDescent="0.25">
      <c r="I136"/>
      <c r="J136"/>
      <c r="K136"/>
      <c r="L136"/>
      <c r="M136"/>
      <c r="N136"/>
    </row>
    <row r="137" spans="9:14" x14ac:dyDescent="0.25">
      <c r="I137"/>
      <c r="J137"/>
      <c r="K137"/>
      <c r="L137"/>
      <c r="M137"/>
      <c r="N137"/>
    </row>
    <row r="138" spans="9:14" x14ac:dyDescent="0.25">
      <c r="I138"/>
      <c r="J138"/>
      <c r="K138"/>
      <c r="L138"/>
      <c r="M138"/>
      <c r="N138"/>
    </row>
    <row r="139" spans="9:14" x14ac:dyDescent="0.25">
      <c r="I139"/>
      <c r="J139"/>
      <c r="K139"/>
      <c r="L139"/>
      <c r="M139"/>
      <c r="N139"/>
    </row>
    <row r="140" spans="9:14" x14ac:dyDescent="0.25">
      <c r="I140"/>
      <c r="J140"/>
      <c r="K140"/>
      <c r="L140"/>
      <c r="M140"/>
      <c r="N140"/>
    </row>
    <row r="141" spans="9:14" x14ac:dyDescent="0.25">
      <c r="I141"/>
      <c r="J141"/>
      <c r="K141"/>
      <c r="L141"/>
      <c r="M141"/>
      <c r="N141"/>
    </row>
    <row r="142" spans="9:14" x14ac:dyDescent="0.25">
      <c r="I142"/>
      <c r="J142"/>
      <c r="K142"/>
      <c r="L142"/>
      <c r="M142"/>
      <c r="N142"/>
    </row>
    <row r="143" spans="9:14" x14ac:dyDescent="0.25">
      <c r="I143"/>
      <c r="J143"/>
      <c r="K143"/>
      <c r="L143"/>
      <c r="M143"/>
      <c r="N143"/>
    </row>
    <row r="144" spans="9:14" x14ac:dyDescent="0.25">
      <c r="I144"/>
      <c r="J144"/>
      <c r="K144"/>
      <c r="L144"/>
      <c r="M144"/>
      <c r="N144"/>
    </row>
    <row r="145" spans="9:14" x14ac:dyDescent="0.25">
      <c r="I145"/>
      <c r="J145"/>
      <c r="K145"/>
      <c r="L145"/>
      <c r="M145"/>
      <c r="N145"/>
    </row>
    <row r="146" spans="9:14" x14ac:dyDescent="0.25">
      <c r="I146"/>
      <c r="J146"/>
      <c r="K146"/>
      <c r="L146"/>
      <c r="M146"/>
      <c r="N146"/>
    </row>
    <row r="147" spans="9:14" x14ac:dyDescent="0.25">
      <c r="I147"/>
      <c r="J147"/>
      <c r="K147"/>
      <c r="L147"/>
      <c r="M147"/>
      <c r="N147"/>
    </row>
    <row r="148" spans="9:14" x14ac:dyDescent="0.25">
      <c r="I148"/>
      <c r="J148"/>
      <c r="K148"/>
      <c r="L148"/>
      <c r="M148"/>
      <c r="N148"/>
    </row>
    <row r="149" spans="9:14" x14ac:dyDescent="0.25">
      <c r="I149"/>
      <c r="J149"/>
      <c r="K149"/>
      <c r="L149"/>
      <c r="M149"/>
      <c r="N149"/>
    </row>
    <row r="150" spans="9:14" x14ac:dyDescent="0.25">
      <c r="I150"/>
      <c r="J150"/>
      <c r="K150"/>
      <c r="L150"/>
      <c r="M150"/>
      <c r="N150"/>
    </row>
    <row r="151" spans="9:14" x14ac:dyDescent="0.25">
      <c r="I151"/>
      <c r="J151"/>
      <c r="K151"/>
      <c r="L151"/>
      <c r="M151"/>
      <c r="N151"/>
    </row>
    <row r="152" spans="9:14" x14ac:dyDescent="0.25">
      <c r="I152"/>
      <c r="J152"/>
      <c r="K152"/>
      <c r="L152"/>
      <c r="M152"/>
      <c r="N152"/>
    </row>
    <row r="153" spans="9:14" x14ac:dyDescent="0.25">
      <c r="I153"/>
      <c r="J153"/>
      <c r="K153"/>
      <c r="L153"/>
      <c r="M153"/>
      <c r="N153"/>
    </row>
    <row r="154" spans="9:14" x14ac:dyDescent="0.25">
      <c r="I154"/>
      <c r="J154"/>
      <c r="K154"/>
      <c r="L154"/>
      <c r="M154"/>
      <c r="N154"/>
    </row>
    <row r="155" spans="9:14" x14ac:dyDescent="0.25">
      <c r="I155"/>
      <c r="J155"/>
      <c r="K155"/>
      <c r="L155"/>
      <c r="M155"/>
      <c r="N155"/>
    </row>
    <row r="156" spans="9:14" x14ac:dyDescent="0.25">
      <c r="I156"/>
      <c r="J156"/>
      <c r="K156"/>
      <c r="L156"/>
      <c r="M156"/>
      <c r="N156"/>
    </row>
    <row r="157" spans="9:14" x14ac:dyDescent="0.25">
      <c r="I157"/>
      <c r="J157"/>
      <c r="K157"/>
      <c r="L157"/>
      <c r="M157"/>
      <c r="N157"/>
    </row>
    <row r="158" spans="9:14" x14ac:dyDescent="0.25">
      <c r="I158"/>
      <c r="J158"/>
      <c r="K158"/>
      <c r="L158"/>
      <c r="M158"/>
      <c r="N158"/>
    </row>
    <row r="159" spans="9:14" x14ac:dyDescent="0.25">
      <c r="I159"/>
      <c r="J159"/>
      <c r="K159"/>
      <c r="L159"/>
      <c r="M159"/>
      <c r="N159"/>
    </row>
    <row r="160" spans="9:14" x14ac:dyDescent="0.25">
      <c r="I160"/>
      <c r="J160"/>
      <c r="K160"/>
      <c r="L160"/>
      <c r="M160"/>
      <c r="N160"/>
    </row>
    <row r="161" spans="9:14" x14ac:dyDescent="0.25">
      <c r="I161"/>
      <c r="J161"/>
      <c r="K161"/>
      <c r="L161"/>
      <c r="M161"/>
      <c r="N161"/>
    </row>
    <row r="162" spans="9:14" x14ac:dyDescent="0.25">
      <c r="I162"/>
      <c r="J162"/>
      <c r="K162"/>
      <c r="L162"/>
      <c r="M162"/>
      <c r="N162"/>
    </row>
    <row r="163" spans="9:14" x14ac:dyDescent="0.25">
      <c r="I163"/>
      <c r="J163"/>
      <c r="K163"/>
      <c r="L163"/>
      <c r="M163"/>
      <c r="N163"/>
    </row>
    <row r="164" spans="9:14" x14ac:dyDescent="0.25">
      <c r="I164"/>
      <c r="J164"/>
      <c r="K164"/>
      <c r="L164"/>
      <c r="M164"/>
      <c r="N164"/>
    </row>
    <row r="165" spans="9:14" x14ac:dyDescent="0.25">
      <c r="I165"/>
      <c r="J165"/>
      <c r="K165"/>
      <c r="L165"/>
      <c r="M165"/>
      <c r="N165"/>
    </row>
    <row r="166" spans="9:14" x14ac:dyDescent="0.25">
      <c r="I166"/>
      <c r="J166"/>
      <c r="K166"/>
      <c r="L166"/>
      <c r="M166"/>
      <c r="N166"/>
    </row>
    <row r="167" spans="9:14" x14ac:dyDescent="0.25">
      <c r="I167"/>
      <c r="J167"/>
      <c r="K167"/>
      <c r="L167"/>
      <c r="M167"/>
      <c r="N167"/>
    </row>
    <row r="168" spans="9:14" x14ac:dyDescent="0.25">
      <c r="I168"/>
      <c r="J168"/>
      <c r="K168"/>
      <c r="L168"/>
      <c r="M168"/>
      <c r="N168"/>
    </row>
    <row r="169" spans="9:14" x14ac:dyDescent="0.25">
      <c r="I169"/>
      <c r="J169"/>
      <c r="K169"/>
      <c r="L169"/>
      <c r="M169"/>
      <c r="N169"/>
    </row>
    <row r="170" spans="9:14" x14ac:dyDescent="0.25">
      <c r="I170"/>
      <c r="J170"/>
      <c r="K170"/>
      <c r="L170"/>
      <c r="M170"/>
      <c r="N170"/>
    </row>
    <row r="171" spans="9:14" x14ac:dyDescent="0.25">
      <c r="I171"/>
      <c r="J171"/>
      <c r="K171"/>
      <c r="L171"/>
      <c r="M171"/>
      <c r="N171"/>
    </row>
    <row r="172" spans="9:14" x14ac:dyDescent="0.25">
      <c r="I172"/>
      <c r="J172"/>
      <c r="K172"/>
      <c r="L172"/>
      <c r="M172"/>
      <c r="N172"/>
    </row>
    <row r="173" spans="9:14" x14ac:dyDescent="0.25">
      <c r="I173"/>
      <c r="J173"/>
      <c r="K173"/>
      <c r="L173"/>
      <c r="M173"/>
      <c r="N173"/>
    </row>
    <row r="174" spans="9:14" x14ac:dyDescent="0.25">
      <c r="I174"/>
      <c r="J174"/>
      <c r="K174"/>
      <c r="L174"/>
      <c r="M174"/>
      <c r="N174"/>
    </row>
    <row r="175" spans="9:14" x14ac:dyDescent="0.25">
      <c r="I175"/>
      <c r="J175"/>
      <c r="K175"/>
      <c r="L175"/>
      <c r="M175"/>
      <c r="N175"/>
    </row>
    <row r="176" spans="9:14" x14ac:dyDescent="0.25">
      <c r="I176"/>
      <c r="J176"/>
      <c r="K176"/>
      <c r="L176"/>
      <c r="M176"/>
      <c r="N176"/>
    </row>
    <row r="177" spans="9:14" x14ac:dyDescent="0.25">
      <c r="I177"/>
      <c r="J177"/>
      <c r="K177"/>
      <c r="L177"/>
      <c r="M177"/>
      <c r="N177"/>
    </row>
    <row r="178" spans="9:14" x14ac:dyDescent="0.25">
      <c r="I178"/>
      <c r="J178"/>
      <c r="K178"/>
      <c r="L178"/>
      <c r="M178"/>
      <c r="N178"/>
    </row>
    <row r="179" spans="9:14" x14ac:dyDescent="0.25">
      <c r="I179"/>
      <c r="J179"/>
      <c r="K179"/>
      <c r="L179"/>
      <c r="M179"/>
      <c r="N179"/>
    </row>
    <row r="180" spans="9:14" x14ac:dyDescent="0.25">
      <c r="I180"/>
      <c r="J180"/>
      <c r="K180"/>
      <c r="L180"/>
      <c r="M180"/>
      <c r="N180"/>
    </row>
    <row r="181" spans="9:14" x14ac:dyDescent="0.25">
      <c r="I181"/>
      <c r="J181"/>
      <c r="K181"/>
      <c r="L181"/>
      <c r="M181"/>
      <c r="N181"/>
    </row>
    <row r="182" spans="9:14" x14ac:dyDescent="0.25">
      <c r="I182"/>
      <c r="J182"/>
      <c r="K182"/>
      <c r="L182"/>
      <c r="M182"/>
      <c r="N182"/>
    </row>
    <row r="183" spans="9:14" x14ac:dyDescent="0.25">
      <c r="I183"/>
      <c r="J183"/>
      <c r="K183"/>
      <c r="L183"/>
      <c r="M183"/>
      <c r="N183"/>
    </row>
    <row r="184" spans="9:14" x14ac:dyDescent="0.25">
      <c r="I184"/>
      <c r="J184"/>
      <c r="K184"/>
      <c r="L184"/>
      <c r="M184"/>
      <c r="N184"/>
    </row>
    <row r="185" spans="9:14" x14ac:dyDescent="0.25">
      <c r="I185"/>
      <c r="J185"/>
      <c r="K185"/>
      <c r="L185"/>
      <c r="M185"/>
      <c r="N185"/>
    </row>
    <row r="186" spans="9:14" x14ac:dyDescent="0.25">
      <c r="I186"/>
      <c r="J186"/>
      <c r="K186"/>
      <c r="L186"/>
      <c r="M186"/>
      <c r="N186"/>
    </row>
    <row r="187" spans="9:14" x14ac:dyDescent="0.25">
      <c r="I187"/>
      <c r="J187"/>
      <c r="K187"/>
      <c r="L187"/>
      <c r="M187"/>
      <c r="N187"/>
    </row>
    <row r="188" spans="9:14" x14ac:dyDescent="0.25">
      <c r="I188"/>
      <c r="J188"/>
      <c r="K188"/>
      <c r="L188"/>
      <c r="M188"/>
      <c r="N188"/>
    </row>
    <row r="189" spans="9:14" x14ac:dyDescent="0.25">
      <c r="I189"/>
      <c r="J189"/>
      <c r="K189"/>
      <c r="L189"/>
      <c r="M189"/>
      <c r="N189"/>
    </row>
    <row r="190" spans="9:14" x14ac:dyDescent="0.25">
      <c r="I190"/>
      <c r="J190"/>
      <c r="K190"/>
      <c r="L190"/>
      <c r="M190"/>
      <c r="N190"/>
    </row>
    <row r="191" spans="9:14" x14ac:dyDescent="0.25">
      <c r="I191"/>
      <c r="J191"/>
      <c r="K191"/>
      <c r="L191"/>
      <c r="M191"/>
      <c r="N191"/>
    </row>
    <row r="192" spans="9:14" x14ac:dyDescent="0.25">
      <c r="I192"/>
      <c r="J192"/>
      <c r="K192"/>
      <c r="L192"/>
      <c r="M192"/>
      <c r="N192"/>
    </row>
    <row r="193" spans="9:14" x14ac:dyDescent="0.25">
      <c r="I193"/>
      <c r="J193"/>
      <c r="K193"/>
      <c r="L193"/>
      <c r="M193"/>
      <c r="N193"/>
    </row>
    <row r="194" spans="9:14" x14ac:dyDescent="0.25">
      <c r="I194"/>
      <c r="J194"/>
      <c r="K194"/>
      <c r="L194"/>
      <c r="M194"/>
      <c r="N194"/>
    </row>
    <row r="195" spans="9:14" x14ac:dyDescent="0.25">
      <c r="I195"/>
      <c r="J195"/>
      <c r="K195"/>
      <c r="L195"/>
      <c r="M195"/>
      <c r="N195"/>
    </row>
    <row r="196" spans="9:14" x14ac:dyDescent="0.25">
      <c r="I196"/>
      <c r="J196"/>
      <c r="K196"/>
      <c r="L196"/>
      <c r="M196"/>
      <c r="N196"/>
    </row>
    <row r="197" spans="9:14" x14ac:dyDescent="0.25">
      <c r="I197"/>
      <c r="J197"/>
      <c r="K197"/>
      <c r="L197"/>
      <c r="M197"/>
      <c r="N197"/>
    </row>
    <row r="198" spans="9:14" x14ac:dyDescent="0.25">
      <c r="I198"/>
      <c r="J198"/>
      <c r="K198"/>
      <c r="L198"/>
      <c r="M198"/>
      <c r="N198"/>
    </row>
    <row r="199" spans="9:14" x14ac:dyDescent="0.25">
      <c r="I199"/>
      <c r="J199"/>
      <c r="K199"/>
      <c r="L199"/>
      <c r="M199"/>
      <c r="N199"/>
    </row>
    <row r="200" spans="9:14" x14ac:dyDescent="0.25">
      <c r="I200"/>
      <c r="J200"/>
      <c r="K200"/>
      <c r="L200"/>
      <c r="M200"/>
      <c r="N200"/>
    </row>
    <row r="201" spans="9:14" x14ac:dyDescent="0.25">
      <c r="I201"/>
      <c r="J201"/>
      <c r="K201"/>
      <c r="L201"/>
      <c r="M201"/>
      <c r="N201"/>
    </row>
    <row r="202" spans="9:14" x14ac:dyDescent="0.25">
      <c r="I202"/>
      <c r="J202"/>
      <c r="K202"/>
      <c r="L202"/>
      <c r="M202"/>
      <c r="N202"/>
    </row>
    <row r="203" spans="9:14" x14ac:dyDescent="0.25">
      <c r="I203"/>
      <c r="J203"/>
      <c r="K203"/>
      <c r="L203"/>
      <c r="M203"/>
      <c r="N203"/>
    </row>
    <row r="204" spans="9:14" x14ac:dyDescent="0.25">
      <c r="I204"/>
      <c r="J204"/>
      <c r="K204"/>
      <c r="L204"/>
      <c r="M204"/>
      <c r="N204"/>
    </row>
    <row r="205" spans="9:14" x14ac:dyDescent="0.25">
      <c r="I205"/>
      <c r="J205"/>
      <c r="K205"/>
      <c r="L205"/>
      <c r="M205"/>
      <c r="N205"/>
    </row>
    <row r="206" spans="9:14" x14ac:dyDescent="0.25">
      <c r="I206"/>
      <c r="J206"/>
      <c r="K206"/>
      <c r="L206"/>
      <c r="M206"/>
      <c r="N206"/>
    </row>
    <row r="207" spans="9:14" x14ac:dyDescent="0.25">
      <c r="I207"/>
      <c r="J207"/>
      <c r="K207"/>
      <c r="L207"/>
      <c r="M207"/>
      <c r="N207"/>
    </row>
    <row r="208" spans="9:14" x14ac:dyDescent="0.25">
      <c r="I208"/>
      <c r="J208"/>
      <c r="K208"/>
      <c r="L208"/>
      <c r="M208"/>
      <c r="N208"/>
    </row>
    <row r="209" spans="9:14" x14ac:dyDescent="0.25">
      <c r="I209"/>
      <c r="J209"/>
      <c r="K209"/>
      <c r="L209"/>
      <c r="M209"/>
      <c r="N209"/>
    </row>
    <row r="210" spans="9:14" x14ac:dyDescent="0.25">
      <c r="I210"/>
      <c r="J210"/>
      <c r="K210"/>
      <c r="L210"/>
      <c r="M210"/>
      <c r="N210"/>
    </row>
    <row r="211" spans="9:14" x14ac:dyDescent="0.25">
      <c r="I211"/>
      <c r="J211"/>
      <c r="K211"/>
      <c r="L211"/>
      <c r="M211"/>
      <c r="N211"/>
    </row>
    <row r="212" spans="9:14" x14ac:dyDescent="0.25">
      <c r="I212"/>
      <c r="J212"/>
      <c r="K212"/>
      <c r="L212"/>
      <c r="M212"/>
      <c r="N212"/>
    </row>
    <row r="213" spans="9:14" x14ac:dyDescent="0.25">
      <c r="I213"/>
      <c r="J213"/>
      <c r="K213"/>
      <c r="L213"/>
      <c r="M213"/>
      <c r="N213"/>
    </row>
    <row r="214" spans="9:14" x14ac:dyDescent="0.25">
      <c r="I214"/>
      <c r="J214"/>
      <c r="K214"/>
      <c r="L214"/>
      <c r="M214"/>
      <c r="N214"/>
    </row>
    <row r="215" spans="9:14" x14ac:dyDescent="0.25">
      <c r="I215"/>
      <c r="J215"/>
      <c r="K215"/>
      <c r="L215"/>
      <c r="M215"/>
      <c r="N215"/>
    </row>
    <row r="216" spans="9:14" x14ac:dyDescent="0.25">
      <c r="I216"/>
      <c r="J216"/>
      <c r="K216"/>
      <c r="L216"/>
      <c r="M216"/>
      <c r="N216"/>
    </row>
    <row r="217" spans="9:14" x14ac:dyDescent="0.25">
      <c r="I217"/>
      <c r="J217"/>
      <c r="K217"/>
      <c r="L217"/>
      <c r="M217"/>
      <c r="N217"/>
    </row>
    <row r="218" spans="9:14" x14ac:dyDescent="0.25">
      <c r="I218"/>
      <c r="J218"/>
      <c r="K218"/>
      <c r="L218"/>
      <c r="M218"/>
      <c r="N218"/>
    </row>
    <row r="219" spans="9:14" x14ac:dyDescent="0.25">
      <c r="I219"/>
      <c r="J219"/>
      <c r="K219"/>
      <c r="L219"/>
      <c r="M219"/>
      <c r="N219"/>
    </row>
    <row r="220" spans="9:14" x14ac:dyDescent="0.25">
      <c r="I220"/>
      <c r="J220"/>
      <c r="K220"/>
      <c r="L220"/>
      <c r="M220"/>
      <c r="N220"/>
    </row>
    <row r="221" spans="9:14" x14ac:dyDescent="0.25">
      <c r="I221"/>
      <c r="J221"/>
      <c r="K221"/>
      <c r="L221"/>
      <c r="M221"/>
      <c r="N221"/>
    </row>
    <row r="222" spans="9:14" x14ac:dyDescent="0.25">
      <c r="I222"/>
      <c r="J222"/>
      <c r="K222"/>
      <c r="L222"/>
      <c r="M222"/>
      <c r="N222"/>
    </row>
    <row r="223" spans="9:14" x14ac:dyDescent="0.25">
      <c r="I223"/>
      <c r="J223"/>
      <c r="K223"/>
      <c r="L223"/>
      <c r="M223"/>
      <c r="N223"/>
    </row>
    <row r="224" spans="9:14" x14ac:dyDescent="0.25">
      <c r="I224"/>
      <c r="J224"/>
      <c r="K224"/>
      <c r="L224"/>
      <c r="M224"/>
      <c r="N224"/>
    </row>
    <row r="225" spans="9:14" x14ac:dyDescent="0.25">
      <c r="I225"/>
      <c r="J225"/>
      <c r="K225"/>
      <c r="L225"/>
      <c r="M225"/>
      <c r="N225"/>
    </row>
    <row r="226" spans="9:14" x14ac:dyDescent="0.25">
      <c r="I226"/>
      <c r="J226"/>
      <c r="K226"/>
      <c r="L226"/>
      <c r="M226"/>
      <c r="N226"/>
    </row>
    <row r="227" spans="9:14" x14ac:dyDescent="0.25">
      <c r="I227"/>
      <c r="J227"/>
      <c r="K227"/>
      <c r="L227"/>
      <c r="M227"/>
      <c r="N227"/>
    </row>
    <row r="228" spans="9:14" x14ac:dyDescent="0.25">
      <c r="I228"/>
      <c r="J228"/>
      <c r="K228"/>
      <c r="L228"/>
      <c r="M228"/>
      <c r="N228"/>
    </row>
    <row r="229" spans="9:14" x14ac:dyDescent="0.25">
      <c r="I229"/>
      <c r="J229"/>
      <c r="K229"/>
      <c r="L229"/>
      <c r="M229"/>
      <c r="N229"/>
    </row>
    <row r="230" spans="9:14" x14ac:dyDescent="0.25">
      <c r="I230"/>
      <c r="J230"/>
      <c r="K230"/>
      <c r="L230"/>
      <c r="M230"/>
      <c r="N230"/>
    </row>
    <row r="231" spans="9:14" x14ac:dyDescent="0.25">
      <c r="I231"/>
      <c r="J231"/>
      <c r="K231"/>
      <c r="L231"/>
      <c r="M231"/>
      <c r="N231"/>
    </row>
    <row r="232" spans="9:14" x14ac:dyDescent="0.25">
      <c r="I232"/>
      <c r="J232"/>
      <c r="K232"/>
      <c r="L232"/>
      <c r="M232"/>
      <c r="N232"/>
    </row>
    <row r="233" spans="9:14" x14ac:dyDescent="0.25">
      <c r="I233"/>
      <c r="J233"/>
      <c r="K233"/>
      <c r="L233"/>
      <c r="M233"/>
      <c r="N233"/>
    </row>
    <row r="234" spans="9:14" x14ac:dyDescent="0.25">
      <c r="I234"/>
      <c r="J234"/>
      <c r="K234"/>
      <c r="L234"/>
      <c r="M234"/>
      <c r="N234"/>
    </row>
    <row r="235" spans="9:14" x14ac:dyDescent="0.25">
      <c r="I235"/>
      <c r="J235"/>
      <c r="K235"/>
      <c r="L235"/>
      <c r="M235"/>
      <c r="N235"/>
    </row>
    <row r="236" spans="9:14" x14ac:dyDescent="0.25">
      <c r="I236"/>
      <c r="J236"/>
      <c r="K236"/>
      <c r="L236"/>
      <c r="M236"/>
      <c r="N236"/>
    </row>
    <row r="237" spans="9:14" x14ac:dyDescent="0.25">
      <c r="I237"/>
      <c r="J237"/>
      <c r="K237"/>
      <c r="L237"/>
      <c r="M237"/>
      <c r="N237"/>
    </row>
    <row r="238" spans="9:14" x14ac:dyDescent="0.25">
      <c r="I238"/>
      <c r="J238"/>
      <c r="K238"/>
      <c r="L238"/>
      <c r="M238"/>
      <c r="N238"/>
    </row>
    <row r="239" spans="9:14" x14ac:dyDescent="0.25">
      <c r="I239"/>
      <c r="J239"/>
      <c r="K239"/>
      <c r="L239"/>
      <c r="M239"/>
      <c r="N239"/>
    </row>
    <row r="240" spans="9:14" x14ac:dyDescent="0.25">
      <c r="I240"/>
      <c r="J240"/>
      <c r="K240"/>
      <c r="L240"/>
      <c r="M240"/>
      <c r="N240"/>
    </row>
    <row r="241" spans="9:14" x14ac:dyDescent="0.25">
      <c r="I241"/>
      <c r="J241"/>
      <c r="K241"/>
      <c r="L241"/>
      <c r="M241"/>
      <c r="N241"/>
    </row>
    <row r="242" spans="9:14" x14ac:dyDescent="0.25">
      <c r="I242"/>
      <c r="J242"/>
      <c r="K242"/>
      <c r="L242"/>
      <c r="M242"/>
      <c r="N242"/>
    </row>
    <row r="243" spans="9:14" x14ac:dyDescent="0.25">
      <c r="I243"/>
      <c r="J243"/>
      <c r="K243"/>
      <c r="L243"/>
      <c r="M243"/>
      <c r="N243"/>
    </row>
    <row r="244" spans="9:14" x14ac:dyDescent="0.25">
      <c r="I244"/>
      <c r="J244"/>
      <c r="K244"/>
      <c r="L244"/>
      <c r="M244"/>
      <c r="N244"/>
    </row>
    <row r="245" spans="9:14" x14ac:dyDescent="0.25">
      <c r="I245"/>
      <c r="J245"/>
      <c r="K245"/>
      <c r="L245"/>
      <c r="M245"/>
      <c r="N245"/>
    </row>
    <row r="246" spans="9:14" x14ac:dyDescent="0.25">
      <c r="I246"/>
      <c r="J246"/>
      <c r="K246"/>
      <c r="L246"/>
      <c r="M246"/>
      <c r="N246"/>
    </row>
    <row r="247" spans="9:14" x14ac:dyDescent="0.25">
      <c r="I247"/>
      <c r="J247"/>
      <c r="K247"/>
      <c r="L247"/>
      <c r="M247"/>
      <c r="N247"/>
    </row>
    <row r="248" spans="9:14" x14ac:dyDescent="0.25">
      <c r="I248"/>
      <c r="J248"/>
      <c r="K248"/>
      <c r="L248"/>
      <c r="M248"/>
      <c r="N248"/>
    </row>
    <row r="249" spans="9:14" x14ac:dyDescent="0.25">
      <c r="I249"/>
      <c r="J249"/>
      <c r="K249"/>
      <c r="L249"/>
      <c r="M249"/>
      <c r="N249"/>
    </row>
    <row r="250" spans="9:14" x14ac:dyDescent="0.25">
      <c r="I250"/>
      <c r="J250"/>
      <c r="K250"/>
      <c r="L250"/>
      <c r="M250"/>
      <c r="N250"/>
    </row>
    <row r="251" spans="9:14" x14ac:dyDescent="0.25">
      <c r="I251"/>
      <c r="J251"/>
      <c r="K251"/>
      <c r="L251"/>
      <c r="M251"/>
      <c r="N251"/>
    </row>
    <row r="252" spans="9:14" x14ac:dyDescent="0.25">
      <c r="I252"/>
      <c r="J252"/>
      <c r="K252"/>
      <c r="L252"/>
      <c r="M252"/>
      <c r="N252"/>
    </row>
    <row r="253" spans="9:14" x14ac:dyDescent="0.25">
      <c r="I253"/>
      <c r="J253"/>
      <c r="K253"/>
      <c r="L253"/>
      <c r="M253"/>
      <c r="N253"/>
    </row>
    <row r="254" spans="9:14" x14ac:dyDescent="0.25">
      <c r="I254"/>
      <c r="J254"/>
      <c r="K254"/>
      <c r="L254"/>
      <c r="M254"/>
      <c r="N254"/>
    </row>
    <row r="255" spans="9:14" x14ac:dyDescent="0.25">
      <c r="I255"/>
      <c r="J255"/>
      <c r="K255"/>
      <c r="L255"/>
      <c r="M255"/>
      <c r="N255"/>
    </row>
    <row r="256" spans="9:14" x14ac:dyDescent="0.25">
      <c r="I256"/>
      <c r="J256"/>
      <c r="K256"/>
      <c r="L256"/>
      <c r="M256"/>
      <c r="N256"/>
    </row>
    <row r="257" spans="9:14" x14ac:dyDescent="0.25">
      <c r="I257"/>
      <c r="J257"/>
      <c r="K257"/>
      <c r="L257"/>
      <c r="M257"/>
      <c r="N257"/>
    </row>
    <row r="258" spans="9:14" x14ac:dyDescent="0.25">
      <c r="I258"/>
      <c r="J258"/>
      <c r="K258"/>
      <c r="L258"/>
      <c r="M258"/>
      <c r="N258"/>
    </row>
    <row r="259" spans="9:14" x14ac:dyDescent="0.25">
      <c r="I259"/>
      <c r="J259"/>
      <c r="K259"/>
      <c r="L259"/>
      <c r="M259"/>
      <c r="N259"/>
    </row>
    <row r="260" spans="9:14" x14ac:dyDescent="0.25">
      <c r="I260"/>
      <c r="J260"/>
      <c r="K260"/>
      <c r="L260"/>
      <c r="M260"/>
      <c r="N260"/>
    </row>
    <row r="261" spans="9:14" x14ac:dyDescent="0.25">
      <c r="I261"/>
      <c r="J261"/>
      <c r="K261"/>
      <c r="L261"/>
      <c r="M261"/>
      <c r="N261"/>
    </row>
    <row r="262" spans="9:14" x14ac:dyDescent="0.25">
      <c r="I262"/>
      <c r="J262"/>
      <c r="K262"/>
      <c r="L262"/>
      <c r="M262"/>
      <c r="N262"/>
    </row>
    <row r="263" spans="9:14" x14ac:dyDescent="0.25">
      <c r="I263"/>
      <c r="J263"/>
      <c r="K263"/>
      <c r="L263"/>
      <c r="M263"/>
      <c r="N263"/>
    </row>
    <row r="264" spans="9:14" x14ac:dyDescent="0.25">
      <c r="I264"/>
      <c r="J264"/>
      <c r="K264"/>
      <c r="L264"/>
      <c r="M264"/>
      <c r="N264"/>
    </row>
    <row r="265" spans="9:14" x14ac:dyDescent="0.25">
      <c r="I265"/>
      <c r="J265"/>
      <c r="K265"/>
      <c r="L265"/>
      <c r="M265"/>
      <c r="N265"/>
    </row>
    <row r="266" spans="9:14" x14ac:dyDescent="0.25">
      <c r="I266"/>
      <c r="J266"/>
      <c r="K266"/>
      <c r="L266"/>
      <c r="M266"/>
      <c r="N266"/>
    </row>
    <row r="267" spans="9:14" x14ac:dyDescent="0.25">
      <c r="I267"/>
      <c r="J267"/>
      <c r="K267"/>
      <c r="L267"/>
      <c r="M267"/>
      <c r="N267"/>
    </row>
    <row r="268" spans="9:14" x14ac:dyDescent="0.25">
      <c r="I268"/>
      <c r="J268"/>
      <c r="K268"/>
      <c r="L268"/>
      <c r="M268"/>
      <c r="N268"/>
    </row>
    <row r="269" spans="9:14" x14ac:dyDescent="0.25">
      <c r="I269"/>
      <c r="J269"/>
      <c r="K269"/>
      <c r="L269"/>
      <c r="M269"/>
      <c r="N269"/>
    </row>
    <row r="270" spans="9:14" x14ac:dyDescent="0.25">
      <c r="I270"/>
      <c r="J270"/>
      <c r="K270"/>
      <c r="L270"/>
      <c r="M270"/>
      <c r="N270"/>
    </row>
    <row r="271" spans="9:14" x14ac:dyDescent="0.25">
      <c r="I271"/>
      <c r="J271"/>
      <c r="K271"/>
      <c r="L271"/>
      <c r="M271"/>
      <c r="N271"/>
    </row>
    <row r="272" spans="9:14" x14ac:dyDescent="0.25">
      <c r="I272"/>
      <c r="J272"/>
      <c r="K272"/>
      <c r="L272"/>
      <c r="M272"/>
      <c r="N272"/>
    </row>
    <row r="273" spans="9:14" x14ac:dyDescent="0.25">
      <c r="I273"/>
      <c r="J273"/>
      <c r="K273"/>
      <c r="L273"/>
      <c r="M273"/>
      <c r="N273"/>
    </row>
    <row r="274" spans="9:14" x14ac:dyDescent="0.25">
      <c r="I274"/>
      <c r="J274"/>
      <c r="K274"/>
      <c r="L274"/>
      <c r="M274"/>
      <c r="N274"/>
    </row>
    <row r="275" spans="9:14" x14ac:dyDescent="0.25">
      <c r="I275"/>
      <c r="J275"/>
      <c r="K275"/>
      <c r="L275"/>
      <c r="M275"/>
      <c r="N275"/>
    </row>
    <row r="276" spans="9:14" x14ac:dyDescent="0.25">
      <c r="I276"/>
      <c r="J276"/>
      <c r="K276"/>
      <c r="L276"/>
      <c r="M276"/>
      <c r="N276"/>
    </row>
    <row r="277" spans="9:14" x14ac:dyDescent="0.25">
      <c r="I277"/>
      <c r="J277"/>
      <c r="K277"/>
      <c r="L277"/>
      <c r="M277"/>
      <c r="N277"/>
    </row>
    <row r="278" spans="9:14" x14ac:dyDescent="0.25">
      <c r="I278"/>
      <c r="J278"/>
      <c r="K278"/>
      <c r="L278"/>
      <c r="M278"/>
      <c r="N278"/>
    </row>
    <row r="279" spans="9:14" x14ac:dyDescent="0.25">
      <c r="I279"/>
      <c r="J279"/>
      <c r="K279"/>
      <c r="L279"/>
      <c r="M279"/>
      <c r="N279"/>
    </row>
    <row r="280" spans="9:14" x14ac:dyDescent="0.25">
      <c r="I280"/>
      <c r="J280"/>
      <c r="K280"/>
      <c r="L280"/>
      <c r="M280"/>
      <c r="N280"/>
    </row>
    <row r="281" spans="9:14" x14ac:dyDescent="0.25">
      <c r="I281"/>
      <c r="J281"/>
      <c r="K281"/>
      <c r="L281"/>
      <c r="M281"/>
      <c r="N281"/>
    </row>
    <row r="282" spans="9:14" x14ac:dyDescent="0.25">
      <c r="I282"/>
      <c r="J282"/>
      <c r="K282"/>
      <c r="L282"/>
      <c r="M282"/>
      <c r="N282"/>
    </row>
    <row r="283" spans="9:14" x14ac:dyDescent="0.25">
      <c r="I283"/>
      <c r="J283"/>
      <c r="K283"/>
      <c r="L283"/>
      <c r="M283"/>
      <c r="N283"/>
    </row>
    <row r="284" spans="9:14" x14ac:dyDescent="0.25">
      <c r="I284"/>
      <c r="J284"/>
      <c r="K284"/>
      <c r="L284"/>
      <c r="M284"/>
      <c r="N284"/>
    </row>
    <row r="285" spans="9:14" x14ac:dyDescent="0.25">
      <c r="I285"/>
      <c r="J285"/>
      <c r="K285"/>
      <c r="L285"/>
      <c r="M285"/>
      <c r="N285"/>
    </row>
    <row r="286" spans="9:14" x14ac:dyDescent="0.25">
      <c r="I286"/>
      <c r="J286"/>
      <c r="K286"/>
      <c r="L286"/>
      <c r="M286"/>
      <c r="N286"/>
    </row>
    <row r="287" spans="9:14" x14ac:dyDescent="0.25">
      <c r="I287"/>
      <c r="J287"/>
      <c r="K287"/>
      <c r="L287"/>
      <c r="M287"/>
      <c r="N287"/>
    </row>
    <row r="288" spans="9:14" x14ac:dyDescent="0.25">
      <c r="I288"/>
      <c r="J288"/>
      <c r="K288"/>
      <c r="L288"/>
      <c r="M288"/>
      <c r="N288"/>
    </row>
    <row r="289" spans="9:14" x14ac:dyDescent="0.25">
      <c r="I289"/>
      <c r="J289"/>
      <c r="K289"/>
      <c r="L289"/>
      <c r="M289"/>
      <c r="N289"/>
    </row>
    <row r="290" spans="9:14" x14ac:dyDescent="0.25">
      <c r="I290"/>
      <c r="J290"/>
      <c r="K290"/>
      <c r="L290"/>
      <c r="M290"/>
      <c r="N290"/>
    </row>
    <row r="291" spans="9:14" x14ac:dyDescent="0.25">
      <c r="I291"/>
      <c r="J291"/>
      <c r="K291"/>
      <c r="L291"/>
      <c r="M291"/>
      <c r="N291"/>
    </row>
    <row r="292" spans="9:14" x14ac:dyDescent="0.25">
      <c r="I292"/>
      <c r="J292"/>
      <c r="K292"/>
      <c r="L292"/>
      <c r="M292"/>
      <c r="N292"/>
    </row>
    <row r="293" spans="9:14" x14ac:dyDescent="0.25">
      <c r="I293"/>
      <c r="J293"/>
      <c r="K293"/>
      <c r="L293"/>
      <c r="M293"/>
      <c r="N293"/>
    </row>
    <row r="294" spans="9:14" x14ac:dyDescent="0.25">
      <c r="I294"/>
      <c r="J294"/>
      <c r="K294"/>
      <c r="L294"/>
      <c r="M294"/>
      <c r="N294"/>
    </row>
    <row r="295" spans="9:14" x14ac:dyDescent="0.25">
      <c r="I295"/>
      <c r="J295"/>
      <c r="K295"/>
      <c r="L295"/>
      <c r="M295"/>
      <c r="N295"/>
    </row>
    <row r="296" spans="9:14" x14ac:dyDescent="0.25">
      <c r="I296"/>
      <c r="J296"/>
      <c r="K296"/>
      <c r="L296"/>
      <c r="M296"/>
      <c r="N296"/>
    </row>
    <row r="297" spans="9:14" x14ac:dyDescent="0.25">
      <c r="I297"/>
      <c r="J297"/>
      <c r="K297"/>
      <c r="L297"/>
      <c r="M297"/>
      <c r="N297"/>
    </row>
    <row r="298" spans="9:14" x14ac:dyDescent="0.25">
      <c r="I298"/>
      <c r="J298"/>
      <c r="K298"/>
      <c r="L298"/>
      <c r="M298"/>
      <c r="N298"/>
    </row>
    <row r="299" spans="9:14" x14ac:dyDescent="0.25">
      <c r="I299"/>
      <c r="J299"/>
      <c r="K299"/>
      <c r="L299"/>
      <c r="M299"/>
      <c r="N299"/>
    </row>
    <row r="300" spans="9:14" x14ac:dyDescent="0.25">
      <c r="I300"/>
      <c r="J300"/>
      <c r="K300"/>
      <c r="L300"/>
      <c r="M300"/>
      <c r="N300"/>
    </row>
    <row r="301" spans="9:14" x14ac:dyDescent="0.25">
      <c r="I301"/>
      <c r="J301"/>
      <c r="K301"/>
      <c r="L301"/>
      <c r="M301"/>
      <c r="N301"/>
    </row>
    <row r="302" spans="9:14" x14ac:dyDescent="0.25">
      <c r="I302"/>
      <c r="J302"/>
      <c r="K302"/>
      <c r="L302"/>
      <c r="M302"/>
      <c r="N302"/>
    </row>
    <row r="303" spans="9:14" x14ac:dyDescent="0.25">
      <c r="I303"/>
      <c r="J303"/>
      <c r="K303"/>
      <c r="L303"/>
      <c r="M303"/>
      <c r="N303"/>
    </row>
    <row r="304" spans="9:14" x14ac:dyDescent="0.25">
      <c r="I304"/>
      <c r="J304"/>
      <c r="K304"/>
      <c r="L304"/>
      <c r="M304"/>
      <c r="N304"/>
    </row>
    <row r="305" spans="9:14" x14ac:dyDescent="0.25">
      <c r="I305"/>
      <c r="J305"/>
      <c r="K305"/>
      <c r="L305"/>
      <c r="M305"/>
      <c r="N305"/>
    </row>
    <row r="306" spans="9:14" x14ac:dyDescent="0.25">
      <c r="I306"/>
      <c r="J306"/>
      <c r="K306"/>
      <c r="L306"/>
      <c r="M306"/>
      <c r="N306"/>
    </row>
    <row r="307" spans="9:14" x14ac:dyDescent="0.25">
      <c r="I307"/>
      <c r="J307"/>
      <c r="K307"/>
      <c r="L307"/>
      <c r="M307"/>
      <c r="N307"/>
    </row>
    <row r="308" spans="9:14" x14ac:dyDescent="0.25">
      <c r="I308"/>
      <c r="J308"/>
      <c r="K308"/>
      <c r="L308"/>
      <c r="M308"/>
      <c r="N308"/>
    </row>
    <row r="309" spans="9:14" x14ac:dyDescent="0.25">
      <c r="I309"/>
      <c r="J309"/>
      <c r="K309"/>
      <c r="L309"/>
      <c r="M309"/>
      <c r="N309"/>
    </row>
    <row r="310" spans="9:14" x14ac:dyDescent="0.25">
      <c r="I310"/>
      <c r="J310"/>
      <c r="K310"/>
      <c r="L310"/>
      <c r="M310"/>
      <c r="N310"/>
    </row>
    <row r="311" spans="9:14" x14ac:dyDescent="0.25">
      <c r="I311"/>
      <c r="J311"/>
      <c r="K311"/>
      <c r="L311"/>
      <c r="M311"/>
      <c r="N311"/>
    </row>
    <row r="312" spans="9:14" x14ac:dyDescent="0.25">
      <c r="I312"/>
      <c r="J312"/>
      <c r="K312"/>
      <c r="L312"/>
      <c r="M312"/>
      <c r="N312"/>
    </row>
    <row r="313" spans="9:14" x14ac:dyDescent="0.25">
      <c r="I313"/>
      <c r="J313"/>
      <c r="K313"/>
      <c r="L313"/>
      <c r="M313"/>
      <c r="N313"/>
    </row>
    <row r="314" spans="9:14" x14ac:dyDescent="0.25">
      <c r="I314"/>
      <c r="J314"/>
      <c r="K314"/>
      <c r="L314"/>
      <c r="M314"/>
      <c r="N314"/>
    </row>
    <row r="315" spans="9:14" x14ac:dyDescent="0.25">
      <c r="I315"/>
      <c r="J315"/>
      <c r="K315"/>
      <c r="L315"/>
      <c r="M315"/>
      <c r="N315"/>
    </row>
    <row r="316" spans="9:14" x14ac:dyDescent="0.25">
      <c r="I316"/>
      <c r="J316"/>
      <c r="K316"/>
      <c r="L316"/>
      <c r="M316"/>
      <c r="N316"/>
    </row>
    <row r="317" spans="9:14" x14ac:dyDescent="0.25">
      <c r="I317"/>
      <c r="J317"/>
      <c r="K317"/>
      <c r="L317"/>
      <c r="M317"/>
      <c r="N317"/>
    </row>
    <row r="318" spans="9:14" x14ac:dyDescent="0.25">
      <c r="I318"/>
      <c r="J318"/>
      <c r="K318"/>
      <c r="L318"/>
      <c r="M318"/>
      <c r="N318"/>
    </row>
    <row r="319" spans="9:14" x14ac:dyDescent="0.25">
      <c r="I319"/>
      <c r="J319"/>
      <c r="K319"/>
      <c r="L319"/>
      <c r="M319"/>
      <c r="N319"/>
    </row>
    <row r="320" spans="9:14" x14ac:dyDescent="0.25">
      <c r="I320"/>
      <c r="J320"/>
      <c r="K320"/>
      <c r="L320"/>
      <c r="M320"/>
      <c r="N320"/>
    </row>
    <row r="321" spans="9:14" x14ac:dyDescent="0.25">
      <c r="I321"/>
      <c r="J321"/>
      <c r="K321"/>
      <c r="L321"/>
      <c r="M321"/>
      <c r="N321"/>
    </row>
    <row r="322" spans="9:14" x14ac:dyDescent="0.25">
      <c r="I322"/>
      <c r="J322"/>
      <c r="K322"/>
      <c r="L322"/>
      <c r="M322"/>
      <c r="N322"/>
    </row>
    <row r="323" spans="9:14" x14ac:dyDescent="0.25">
      <c r="I323"/>
      <c r="J323"/>
      <c r="K323"/>
      <c r="L323"/>
      <c r="M323"/>
      <c r="N323"/>
    </row>
    <row r="324" spans="9:14" x14ac:dyDescent="0.25">
      <c r="I324"/>
      <c r="J324"/>
      <c r="K324"/>
      <c r="L324"/>
      <c r="M324"/>
      <c r="N324"/>
    </row>
    <row r="325" spans="9:14" x14ac:dyDescent="0.25">
      <c r="I325"/>
      <c r="J325"/>
      <c r="K325"/>
      <c r="L325"/>
      <c r="M325"/>
      <c r="N325"/>
    </row>
    <row r="326" spans="9:14" x14ac:dyDescent="0.25">
      <c r="I326"/>
      <c r="J326"/>
      <c r="K326"/>
      <c r="L326"/>
      <c r="M326"/>
      <c r="N326"/>
    </row>
    <row r="327" spans="9:14" x14ac:dyDescent="0.25">
      <c r="I327"/>
      <c r="J327"/>
      <c r="K327"/>
      <c r="L327"/>
      <c r="M327"/>
      <c r="N327"/>
    </row>
    <row r="328" spans="9:14" x14ac:dyDescent="0.25">
      <c r="I328"/>
      <c r="J328"/>
      <c r="K328"/>
      <c r="L328"/>
      <c r="M328"/>
      <c r="N328"/>
    </row>
    <row r="329" spans="9:14" x14ac:dyDescent="0.25">
      <c r="I329"/>
      <c r="J329"/>
      <c r="K329"/>
      <c r="L329"/>
      <c r="M329"/>
      <c r="N329"/>
    </row>
    <row r="330" spans="9:14" x14ac:dyDescent="0.25">
      <c r="I330"/>
      <c r="J330"/>
      <c r="K330"/>
      <c r="L330"/>
      <c r="M330"/>
      <c r="N330"/>
    </row>
    <row r="331" spans="9:14" x14ac:dyDescent="0.25">
      <c r="I331"/>
      <c r="J331"/>
      <c r="K331"/>
      <c r="L331"/>
      <c r="M331"/>
      <c r="N331"/>
    </row>
    <row r="332" spans="9:14" x14ac:dyDescent="0.25">
      <c r="I332"/>
      <c r="J332"/>
      <c r="K332"/>
      <c r="L332"/>
      <c r="M332"/>
      <c r="N332"/>
    </row>
    <row r="333" spans="9:14" x14ac:dyDescent="0.25">
      <c r="I333"/>
      <c r="J333"/>
      <c r="K333"/>
      <c r="L333"/>
      <c r="M333"/>
      <c r="N333"/>
    </row>
    <row r="334" spans="9:14" x14ac:dyDescent="0.25">
      <c r="I334"/>
      <c r="J334"/>
      <c r="K334"/>
      <c r="L334"/>
      <c r="M334"/>
      <c r="N334"/>
    </row>
    <row r="335" spans="9:14" x14ac:dyDescent="0.25">
      <c r="I335"/>
      <c r="J335"/>
      <c r="K335"/>
      <c r="L335"/>
      <c r="M335"/>
      <c r="N335"/>
    </row>
    <row r="336" spans="9:14" x14ac:dyDescent="0.25">
      <c r="I336"/>
      <c r="J336"/>
      <c r="K336"/>
      <c r="L336"/>
      <c r="M336"/>
      <c r="N336"/>
    </row>
    <row r="337" spans="9:14" x14ac:dyDescent="0.25">
      <c r="I337"/>
      <c r="J337"/>
      <c r="K337"/>
      <c r="L337"/>
      <c r="M337"/>
      <c r="N337"/>
    </row>
    <row r="338" spans="9:14" x14ac:dyDescent="0.25">
      <c r="I338"/>
      <c r="J338"/>
      <c r="K338"/>
      <c r="L338"/>
      <c r="M338"/>
      <c r="N338"/>
    </row>
    <row r="339" spans="9:14" x14ac:dyDescent="0.25">
      <c r="I339"/>
      <c r="J339"/>
      <c r="K339"/>
      <c r="L339"/>
      <c r="M339"/>
      <c r="N339"/>
    </row>
    <row r="340" spans="9:14" x14ac:dyDescent="0.25">
      <c r="I340"/>
      <c r="J340"/>
      <c r="K340"/>
      <c r="L340"/>
      <c r="M340"/>
      <c r="N340"/>
    </row>
    <row r="341" spans="9:14" x14ac:dyDescent="0.25">
      <c r="I341"/>
      <c r="J341"/>
      <c r="K341"/>
      <c r="L341"/>
      <c r="M341"/>
      <c r="N341"/>
    </row>
    <row r="342" spans="9:14" x14ac:dyDescent="0.25">
      <c r="I342"/>
      <c r="J342"/>
      <c r="K342"/>
      <c r="L342"/>
      <c r="M342"/>
      <c r="N342"/>
    </row>
    <row r="343" spans="9:14" x14ac:dyDescent="0.25">
      <c r="I343"/>
      <c r="J343"/>
      <c r="K343"/>
      <c r="L343"/>
      <c r="M343"/>
      <c r="N343"/>
    </row>
    <row r="344" spans="9:14" x14ac:dyDescent="0.25">
      <c r="I344"/>
      <c r="J344"/>
      <c r="K344"/>
      <c r="L344"/>
      <c r="M344"/>
      <c r="N344"/>
    </row>
    <row r="345" spans="9:14" x14ac:dyDescent="0.25">
      <c r="I345"/>
      <c r="J345"/>
      <c r="K345"/>
      <c r="L345"/>
      <c r="M345"/>
      <c r="N345"/>
    </row>
    <row r="346" spans="9:14" x14ac:dyDescent="0.25">
      <c r="I346"/>
      <c r="J346"/>
      <c r="K346"/>
      <c r="L346"/>
      <c r="M346"/>
      <c r="N346"/>
    </row>
    <row r="347" spans="9:14" x14ac:dyDescent="0.25">
      <c r="I347"/>
      <c r="J347"/>
      <c r="K347"/>
      <c r="L347"/>
      <c r="M347"/>
      <c r="N347"/>
    </row>
    <row r="348" spans="9:14" x14ac:dyDescent="0.25">
      <c r="I348"/>
      <c r="J348"/>
      <c r="K348"/>
      <c r="L348"/>
      <c r="M348"/>
      <c r="N348"/>
    </row>
    <row r="349" spans="9:14" x14ac:dyDescent="0.25">
      <c r="I349"/>
      <c r="J349"/>
      <c r="K349"/>
      <c r="L349"/>
      <c r="M349"/>
      <c r="N349"/>
    </row>
    <row r="350" spans="9:14" x14ac:dyDescent="0.25">
      <c r="I350"/>
      <c r="J350"/>
      <c r="K350"/>
      <c r="L350"/>
      <c r="M350"/>
      <c r="N350"/>
    </row>
    <row r="351" spans="9:14" x14ac:dyDescent="0.25">
      <c r="I351"/>
      <c r="J351"/>
      <c r="K351"/>
      <c r="L351"/>
      <c r="M351"/>
      <c r="N351"/>
    </row>
    <row r="352" spans="9:14" x14ac:dyDescent="0.25">
      <c r="I352"/>
      <c r="J352"/>
      <c r="K352"/>
      <c r="L352"/>
      <c r="M352"/>
      <c r="N352"/>
    </row>
    <row r="353" spans="9:14" x14ac:dyDescent="0.25">
      <c r="I353"/>
      <c r="J353"/>
      <c r="K353"/>
      <c r="L353"/>
      <c r="M353"/>
      <c r="N353"/>
    </row>
    <row r="354" spans="9:14" x14ac:dyDescent="0.25">
      <c r="I354"/>
      <c r="J354"/>
      <c r="K354"/>
      <c r="L354"/>
      <c r="M354"/>
      <c r="N354"/>
    </row>
    <row r="355" spans="9:14" x14ac:dyDescent="0.25">
      <c r="I355"/>
      <c r="J355"/>
      <c r="K355"/>
      <c r="L355"/>
      <c r="M355"/>
      <c r="N355"/>
    </row>
    <row r="356" spans="9:14" x14ac:dyDescent="0.25">
      <c r="I356"/>
      <c r="J356"/>
      <c r="K356"/>
      <c r="L356"/>
      <c r="M356"/>
      <c r="N356"/>
    </row>
    <row r="357" spans="9:14" x14ac:dyDescent="0.25">
      <c r="I357"/>
      <c r="J357"/>
      <c r="K357"/>
      <c r="L357"/>
      <c r="M357"/>
      <c r="N357"/>
    </row>
    <row r="358" spans="9:14" x14ac:dyDescent="0.25">
      <c r="I358"/>
      <c r="J358"/>
      <c r="K358"/>
      <c r="L358"/>
      <c r="M358"/>
      <c r="N358"/>
    </row>
    <row r="359" spans="9:14" x14ac:dyDescent="0.25">
      <c r="I359"/>
      <c r="J359"/>
      <c r="K359"/>
      <c r="L359"/>
      <c r="M359"/>
      <c r="N359"/>
    </row>
    <row r="360" spans="9:14" x14ac:dyDescent="0.25">
      <c r="I360"/>
      <c r="J360"/>
      <c r="K360"/>
      <c r="L360"/>
      <c r="M360"/>
      <c r="N360"/>
    </row>
    <row r="361" spans="9:14" x14ac:dyDescent="0.25">
      <c r="I361"/>
      <c r="J361"/>
      <c r="K361"/>
      <c r="L361"/>
      <c r="M361"/>
      <c r="N361"/>
    </row>
    <row r="362" spans="9:14" x14ac:dyDescent="0.25">
      <c r="I362"/>
      <c r="J362"/>
      <c r="K362"/>
      <c r="L362"/>
      <c r="M362"/>
      <c r="N362"/>
    </row>
    <row r="363" spans="9:14" x14ac:dyDescent="0.25">
      <c r="I363"/>
      <c r="J363"/>
      <c r="K363"/>
      <c r="L363"/>
      <c r="M363"/>
      <c r="N363"/>
    </row>
    <row r="364" spans="9:14" x14ac:dyDescent="0.25">
      <c r="I364"/>
      <c r="J364"/>
      <c r="K364"/>
      <c r="L364"/>
      <c r="M364"/>
      <c r="N364"/>
    </row>
    <row r="365" spans="9:14" x14ac:dyDescent="0.25">
      <c r="I365"/>
      <c r="J365"/>
      <c r="K365"/>
      <c r="L365"/>
      <c r="M365"/>
      <c r="N365"/>
    </row>
    <row r="366" spans="9:14" x14ac:dyDescent="0.25">
      <c r="I366"/>
      <c r="J366"/>
      <c r="K366"/>
      <c r="L366"/>
      <c r="M366"/>
      <c r="N366"/>
    </row>
    <row r="367" spans="9:14" x14ac:dyDescent="0.25">
      <c r="I367"/>
      <c r="J367"/>
      <c r="K367"/>
      <c r="L367"/>
      <c r="M367"/>
      <c r="N367"/>
    </row>
    <row r="368" spans="9:14" x14ac:dyDescent="0.25">
      <c r="I368"/>
      <c r="J368"/>
      <c r="K368"/>
      <c r="L368"/>
      <c r="M368"/>
      <c r="N368"/>
    </row>
    <row r="369" spans="9:14" x14ac:dyDescent="0.25">
      <c r="I369"/>
      <c r="J369"/>
      <c r="K369"/>
      <c r="L369"/>
      <c r="M369"/>
      <c r="N369"/>
    </row>
    <row r="370" spans="9:14" x14ac:dyDescent="0.25">
      <c r="I370"/>
      <c r="J370"/>
      <c r="K370"/>
      <c r="L370"/>
      <c r="M370"/>
      <c r="N370"/>
    </row>
    <row r="371" spans="9:14" x14ac:dyDescent="0.25">
      <c r="I371"/>
      <c r="J371"/>
      <c r="K371"/>
      <c r="L371"/>
      <c r="M371"/>
      <c r="N371"/>
    </row>
    <row r="372" spans="9:14" x14ac:dyDescent="0.25">
      <c r="I372"/>
      <c r="J372"/>
      <c r="K372"/>
      <c r="L372"/>
      <c r="M372"/>
      <c r="N372"/>
    </row>
    <row r="373" spans="9:14" x14ac:dyDescent="0.25">
      <c r="I373"/>
      <c r="J373"/>
      <c r="K373"/>
      <c r="L373"/>
      <c r="M373"/>
      <c r="N373"/>
    </row>
    <row r="374" spans="9:14" x14ac:dyDescent="0.25">
      <c r="I374"/>
      <c r="J374"/>
      <c r="K374"/>
      <c r="L374"/>
      <c r="M374"/>
      <c r="N374"/>
    </row>
    <row r="375" spans="9:14" x14ac:dyDescent="0.25">
      <c r="I375"/>
      <c r="J375"/>
      <c r="K375"/>
      <c r="L375"/>
      <c r="M375"/>
      <c r="N375"/>
    </row>
    <row r="376" spans="9:14" x14ac:dyDescent="0.25">
      <c r="I376"/>
      <c r="J376"/>
      <c r="K376"/>
      <c r="L376"/>
      <c r="M376"/>
      <c r="N376"/>
    </row>
    <row r="377" spans="9:14" x14ac:dyDescent="0.25">
      <c r="I377"/>
      <c r="J377"/>
      <c r="K377"/>
      <c r="L377"/>
      <c r="M377"/>
      <c r="N377"/>
    </row>
    <row r="378" spans="9:14" x14ac:dyDescent="0.25">
      <c r="I378"/>
      <c r="J378"/>
      <c r="K378"/>
      <c r="L378"/>
      <c r="M378"/>
      <c r="N378"/>
    </row>
    <row r="379" spans="9:14" x14ac:dyDescent="0.25">
      <c r="I379"/>
      <c r="J379"/>
      <c r="K379"/>
      <c r="L379"/>
      <c r="M379"/>
      <c r="N379"/>
    </row>
    <row r="380" spans="9:14" x14ac:dyDescent="0.25">
      <c r="I380"/>
      <c r="J380"/>
      <c r="K380"/>
      <c r="L380"/>
      <c r="M380"/>
      <c r="N380"/>
    </row>
    <row r="381" spans="9:14" x14ac:dyDescent="0.25">
      <c r="I381"/>
      <c r="J381"/>
      <c r="K381"/>
      <c r="L381"/>
      <c r="M381"/>
      <c r="N381"/>
    </row>
    <row r="382" spans="9:14" x14ac:dyDescent="0.25">
      <c r="I382"/>
      <c r="J382"/>
      <c r="K382"/>
      <c r="L382"/>
      <c r="M382"/>
      <c r="N382"/>
    </row>
    <row r="383" spans="9:14" x14ac:dyDescent="0.25">
      <c r="I383"/>
      <c r="J383"/>
      <c r="K383"/>
      <c r="L383"/>
      <c r="M383"/>
      <c r="N383"/>
    </row>
    <row r="384" spans="9:14" x14ac:dyDescent="0.25">
      <c r="I384"/>
      <c r="J384"/>
      <c r="K384"/>
      <c r="L384"/>
      <c r="M384"/>
      <c r="N384"/>
    </row>
    <row r="385" spans="9:14" x14ac:dyDescent="0.25">
      <c r="I385"/>
      <c r="J385"/>
      <c r="K385"/>
      <c r="L385"/>
      <c r="M385"/>
      <c r="N385"/>
    </row>
    <row r="386" spans="9:14" x14ac:dyDescent="0.25">
      <c r="I386"/>
      <c r="J386"/>
      <c r="K386"/>
      <c r="L386"/>
      <c r="M386"/>
      <c r="N386"/>
    </row>
    <row r="387" spans="9:14" x14ac:dyDescent="0.25">
      <c r="I387"/>
      <c r="J387"/>
      <c r="K387"/>
      <c r="L387"/>
      <c r="M387"/>
      <c r="N387"/>
    </row>
    <row r="388" spans="9:14" x14ac:dyDescent="0.25">
      <c r="I388"/>
      <c r="J388"/>
      <c r="K388"/>
      <c r="L388"/>
      <c r="M388"/>
      <c r="N388"/>
    </row>
    <row r="389" spans="9:14" x14ac:dyDescent="0.25">
      <c r="I389"/>
      <c r="J389"/>
      <c r="K389"/>
      <c r="L389"/>
      <c r="M389"/>
      <c r="N389"/>
    </row>
    <row r="390" spans="9:14" x14ac:dyDescent="0.25">
      <c r="I390"/>
      <c r="J390"/>
      <c r="K390"/>
      <c r="L390"/>
      <c r="M390"/>
      <c r="N390"/>
    </row>
    <row r="391" spans="9:14" x14ac:dyDescent="0.25">
      <c r="I391"/>
      <c r="J391"/>
      <c r="K391"/>
      <c r="L391"/>
      <c r="M391"/>
      <c r="N391"/>
    </row>
    <row r="392" spans="9:14" x14ac:dyDescent="0.25">
      <c r="I392"/>
      <c r="J392"/>
      <c r="K392"/>
      <c r="L392"/>
      <c r="M392"/>
      <c r="N392"/>
    </row>
    <row r="393" spans="9:14" x14ac:dyDescent="0.25">
      <c r="I393"/>
      <c r="J393"/>
      <c r="K393"/>
      <c r="L393"/>
      <c r="M393"/>
      <c r="N393"/>
    </row>
    <row r="394" spans="9:14" x14ac:dyDescent="0.25">
      <c r="I394"/>
      <c r="J394"/>
      <c r="K394"/>
      <c r="L394"/>
      <c r="M394"/>
      <c r="N394"/>
    </row>
    <row r="395" spans="9:14" x14ac:dyDescent="0.25">
      <c r="I395"/>
      <c r="J395"/>
      <c r="K395"/>
      <c r="L395"/>
      <c r="M395"/>
      <c r="N395"/>
    </row>
    <row r="396" spans="9:14" x14ac:dyDescent="0.25">
      <c r="I396"/>
      <c r="J396"/>
      <c r="K396"/>
      <c r="L396"/>
      <c r="M396"/>
      <c r="N396"/>
    </row>
    <row r="397" spans="9:14" x14ac:dyDescent="0.25">
      <c r="I397"/>
      <c r="J397"/>
      <c r="K397"/>
      <c r="L397"/>
      <c r="M397"/>
      <c r="N397"/>
    </row>
    <row r="398" spans="9:14" x14ac:dyDescent="0.25">
      <c r="I398"/>
      <c r="J398"/>
      <c r="K398"/>
      <c r="L398"/>
      <c r="M398"/>
      <c r="N398"/>
    </row>
    <row r="399" spans="9:14" x14ac:dyDescent="0.25">
      <c r="I399"/>
      <c r="J399"/>
      <c r="K399"/>
      <c r="L399"/>
      <c r="M399"/>
      <c r="N399"/>
    </row>
    <row r="400" spans="9:14" x14ac:dyDescent="0.25">
      <c r="I400"/>
      <c r="J400"/>
      <c r="K400"/>
      <c r="L400"/>
      <c r="M400"/>
      <c r="N400"/>
    </row>
    <row r="401" spans="9:14" x14ac:dyDescent="0.25">
      <c r="I401"/>
      <c r="J401"/>
      <c r="K401"/>
      <c r="L401"/>
      <c r="M401"/>
      <c r="N401"/>
    </row>
    <row r="402" spans="9:14" x14ac:dyDescent="0.25">
      <c r="I402"/>
      <c r="J402"/>
      <c r="K402"/>
      <c r="L402"/>
      <c r="M402"/>
      <c r="N402"/>
    </row>
    <row r="403" spans="9:14" x14ac:dyDescent="0.25">
      <c r="I403"/>
      <c r="J403"/>
      <c r="K403"/>
      <c r="L403"/>
      <c r="M403"/>
      <c r="N403"/>
    </row>
    <row r="404" spans="9:14" x14ac:dyDescent="0.25">
      <c r="I404"/>
      <c r="J404"/>
      <c r="K404"/>
      <c r="L404"/>
      <c r="M404"/>
      <c r="N404"/>
    </row>
    <row r="405" spans="9:14" x14ac:dyDescent="0.25">
      <c r="I405"/>
      <c r="J405"/>
      <c r="K405"/>
      <c r="L405"/>
      <c r="M405"/>
      <c r="N405"/>
    </row>
    <row r="406" spans="9:14" x14ac:dyDescent="0.25">
      <c r="I406"/>
      <c r="J406"/>
      <c r="K406"/>
      <c r="L406"/>
      <c r="M406"/>
      <c r="N406"/>
    </row>
    <row r="407" spans="9:14" x14ac:dyDescent="0.25">
      <c r="I407"/>
      <c r="J407"/>
      <c r="K407"/>
      <c r="L407"/>
      <c r="M407"/>
      <c r="N407"/>
    </row>
    <row r="408" spans="9:14" x14ac:dyDescent="0.25">
      <c r="I408"/>
      <c r="J408"/>
      <c r="K408"/>
      <c r="L408"/>
      <c r="M408"/>
      <c r="N408"/>
    </row>
    <row r="409" spans="9:14" x14ac:dyDescent="0.25">
      <c r="I409"/>
      <c r="J409"/>
      <c r="K409"/>
      <c r="L409"/>
      <c r="M409"/>
      <c r="N409"/>
    </row>
    <row r="410" spans="9:14" x14ac:dyDescent="0.25">
      <c r="I410"/>
      <c r="J410"/>
      <c r="K410"/>
      <c r="L410"/>
      <c r="M410"/>
      <c r="N410"/>
    </row>
    <row r="411" spans="9:14" x14ac:dyDescent="0.25">
      <c r="I411"/>
      <c r="J411"/>
      <c r="K411"/>
      <c r="L411"/>
      <c r="M411"/>
      <c r="N411"/>
    </row>
    <row r="412" spans="9:14" x14ac:dyDescent="0.25">
      <c r="I412"/>
      <c r="J412"/>
      <c r="K412"/>
      <c r="L412"/>
      <c r="M412"/>
      <c r="N412"/>
    </row>
    <row r="413" spans="9:14" x14ac:dyDescent="0.25">
      <c r="I413"/>
      <c r="J413"/>
      <c r="K413"/>
      <c r="L413"/>
      <c r="M413"/>
      <c r="N413"/>
    </row>
    <row r="414" spans="9:14" x14ac:dyDescent="0.25">
      <c r="I414"/>
      <c r="J414"/>
      <c r="K414"/>
      <c r="L414"/>
      <c r="M414"/>
      <c r="N414"/>
    </row>
    <row r="415" spans="9:14" x14ac:dyDescent="0.25">
      <c r="I415"/>
      <c r="J415"/>
      <c r="K415"/>
      <c r="L415"/>
      <c r="M415"/>
      <c r="N415"/>
    </row>
    <row r="416" spans="9:14" x14ac:dyDescent="0.25">
      <c r="I416"/>
      <c r="J416"/>
      <c r="K416"/>
      <c r="L416"/>
      <c r="M416"/>
      <c r="N416"/>
    </row>
    <row r="417" spans="9:14" x14ac:dyDescent="0.25">
      <c r="I417"/>
      <c r="J417"/>
      <c r="K417"/>
      <c r="L417"/>
      <c r="M417"/>
      <c r="N417"/>
    </row>
    <row r="418" spans="9:14" x14ac:dyDescent="0.25">
      <c r="I418"/>
      <c r="J418"/>
      <c r="K418"/>
      <c r="L418"/>
      <c r="M418"/>
      <c r="N418"/>
    </row>
    <row r="419" spans="9:14" x14ac:dyDescent="0.25">
      <c r="I419"/>
      <c r="J419"/>
      <c r="K419"/>
      <c r="L419"/>
      <c r="M419"/>
      <c r="N419"/>
    </row>
    <row r="420" spans="9:14" x14ac:dyDescent="0.25">
      <c r="I420"/>
      <c r="J420"/>
      <c r="K420"/>
      <c r="L420"/>
      <c r="M420"/>
      <c r="N420"/>
    </row>
    <row r="421" spans="9:14" x14ac:dyDescent="0.25">
      <c r="I421"/>
      <c r="J421"/>
      <c r="K421"/>
      <c r="L421"/>
      <c r="M421"/>
      <c r="N421"/>
    </row>
    <row r="422" spans="9:14" x14ac:dyDescent="0.25">
      <c r="I422"/>
      <c r="J422"/>
      <c r="K422"/>
      <c r="L422"/>
      <c r="M422"/>
      <c r="N422"/>
    </row>
    <row r="423" spans="9:14" x14ac:dyDescent="0.25">
      <c r="I423"/>
      <c r="J423"/>
      <c r="K423"/>
      <c r="L423"/>
      <c r="M423"/>
      <c r="N423"/>
    </row>
    <row r="424" spans="9:14" x14ac:dyDescent="0.25">
      <c r="I424"/>
      <c r="J424"/>
      <c r="K424"/>
      <c r="L424"/>
      <c r="M424"/>
      <c r="N424"/>
    </row>
    <row r="425" spans="9:14" x14ac:dyDescent="0.25">
      <c r="I425"/>
      <c r="J425"/>
      <c r="K425"/>
      <c r="L425"/>
      <c r="M425"/>
      <c r="N425"/>
    </row>
    <row r="426" spans="9:14" x14ac:dyDescent="0.25">
      <c r="I426"/>
      <c r="J426"/>
      <c r="K426"/>
      <c r="L426"/>
      <c r="M426"/>
      <c r="N426"/>
    </row>
    <row r="427" spans="9:14" x14ac:dyDescent="0.25">
      <c r="I427"/>
      <c r="J427"/>
      <c r="K427"/>
      <c r="L427"/>
      <c r="M427"/>
      <c r="N427"/>
    </row>
    <row r="428" spans="9:14" x14ac:dyDescent="0.25">
      <c r="I428"/>
      <c r="J428"/>
      <c r="K428"/>
      <c r="L428"/>
      <c r="M428"/>
      <c r="N428"/>
    </row>
    <row r="429" spans="9:14" x14ac:dyDescent="0.25">
      <c r="I429"/>
      <c r="J429"/>
      <c r="K429"/>
      <c r="L429"/>
      <c r="M429"/>
      <c r="N429"/>
    </row>
    <row r="430" spans="9:14" x14ac:dyDescent="0.25">
      <c r="I430"/>
      <c r="J430"/>
      <c r="K430"/>
      <c r="L430"/>
      <c r="M430"/>
      <c r="N430"/>
    </row>
    <row r="431" spans="9:14" x14ac:dyDescent="0.25">
      <c r="I431"/>
      <c r="J431"/>
      <c r="K431"/>
      <c r="L431"/>
      <c r="M431"/>
      <c r="N431"/>
    </row>
    <row r="432" spans="9:14" x14ac:dyDescent="0.25">
      <c r="I432"/>
      <c r="J432"/>
      <c r="K432"/>
      <c r="L432"/>
      <c r="M432"/>
      <c r="N432"/>
    </row>
    <row r="433" spans="9:14" x14ac:dyDescent="0.25">
      <c r="I433"/>
      <c r="J433"/>
      <c r="K433"/>
      <c r="L433"/>
      <c r="M433"/>
      <c r="N433"/>
    </row>
    <row r="434" spans="9:14" x14ac:dyDescent="0.25">
      <c r="I434"/>
      <c r="J434"/>
      <c r="K434"/>
      <c r="L434"/>
      <c r="M434"/>
      <c r="N434"/>
    </row>
    <row r="435" spans="9:14" x14ac:dyDescent="0.25">
      <c r="I435"/>
      <c r="J435"/>
      <c r="K435"/>
      <c r="L435"/>
      <c r="M435"/>
      <c r="N435"/>
    </row>
    <row r="436" spans="9:14" x14ac:dyDescent="0.25">
      <c r="I436"/>
      <c r="J436"/>
      <c r="K436"/>
      <c r="L436"/>
      <c r="M436"/>
      <c r="N436"/>
    </row>
    <row r="437" spans="9:14" x14ac:dyDescent="0.25">
      <c r="I437"/>
      <c r="J437"/>
      <c r="K437"/>
      <c r="L437"/>
      <c r="M437"/>
      <c r="N437"/>
    </row>
    <row r="438" spans="9:14" x14ac:dyDescent="0.25">
      <c r="I438"/>
      <c r="J438"/>
      <c r="K438"/>
      <c r="L438"/>
      <c r="M438"/>
      <c r="N438"/>
    </row>
    <row r="439" spans="9:14" x14ac:dyDescent="0.25">
      <c r="I439"/>
      <c r="J439"/>
      <c r="K439"/>
      <c r="L439"/>
      <c r="M439"/>
      <c r="N439"/>
    </row>
    <row r="440" spans="9:14" x14ac:dyDescent="0.25">
      <c r="I440"/>
      <c r="J440"/>
      <c r="K440"/>
      <c r="L440"/>
      <c r="M440"/>
      <c r="N440"/>
    </row>
    <row r="441" spans="9:14" x14ac:dyDescent="0.25">
      <c r="I441"/>
      <c r="J441"/>
      <c r="K441"/>
      <c r="L441"/>
      <c r="M441"/>
      <c r="N441"/>
    </row>
    <row r="442" spans="9:14" x14ac:dyDescent="0.25">
      <c r="I442"/>
      <c r="J442"/>
      <c r="K442"/>
      <c r="L442"/>
      <c r="M442"/>
      <c r="N442"/>
    </row>
    <row r="443" spans="9:14" x14ac:dyDescent="0.25">
      <c r="I443"/>
      <c r="J443"/>
      <c r="K443"/>
      <c r="L443"/>
      <c r="M443"/>
      <c r="N443"/>
    </row>
    <row r="444" spans="9:14" x14ac:dyDescent="0.25">
      <c r="I444"/>
      <c r="J444"/>
      <c r="K444"/>
      <c r="L444"/>
      <c r="M444"/>
      <c r="N444"/>
    </row>
    <row r="445" spans="9:14" x14ac:dyDescent="0.25">
      <c r="I445"/>
      <c r="J445"/>
      <c r="K445"/>
      <c r="L445"/>
      <c r="M445"/>
      <c r="N445"/>
    </row>
    <row r="446" spans="9:14" x14ac:dyDescent="0.25">
      <c r="I446"/>
      <c r="J446"/>
      <c r="K446"/>
      <c r="L446"/>
      <c r="M446"/>
      <c r="N446"/>
    </row>
    <row r="447" spans="9:14" x14ac:dyDescent="0.25">
      <c r="I447"/>
      <c r="J447"/>
      <c r="K447"/>
      <c r="L447"/>
      <c r="M447"/>
      <c r="N447"/>
    </row>
    <row r="448" spans="9:14" x14ac:dyDescent="0.25">
      <c r="I448"/>
      <c r="J448"/>
      <c r="K448"/>
      <c r="L448"/>
      <c r="M448"/>
      <c r="N448"/>
    </row>
    <row r="449" spans="9:14" x14ac:dyDescent="0.25">
      <c r="I449"/>
      <c r="J449"/>
      <c r="K449"/>
      <c r="L449"/>
      <c r="M449"/>
      <c r="N449"/>
    </row>
    <row r="450" spans="9:14" x14ac:dyDescent="0.25">
      <c r="I450"/>
      <c r="J450"/>
      <c r="K450"/>
      <c r="L450"/>
      <c r="M450"/>
      <c r="N450"/>
    </row>
    <row r="451" spans="9:14" x14ac:dyDescent="0.25">
      <c r="I451"/>
      <c r="J451"/>
      <c r="K451"/>
      <c r="L451"/>
      <c r="M451"/>
      <c r="N451"/>
    </row>
    <row r="452" spans="9:14" x14ac:dyDescent="0.25">
      <c r="I452"/>
      <c r="J452"/>
      <c r="K452"/>
      <c r="L452"/>
      <c r="M452"/>
      <c r="N452"/>
    </row>
    <row r="453" spans="9:14" x14ac:dyDescent="0.25">
      <c r="I453"/>
      <c r="J453"/>
      <c r="K453"/>
      <c r="L453"/>
      <c r="M453"/>
      <c r="N453"/>
    </row>
    <row r="454" spans="9:14" x14ac:dyDescent="0.25">
      <c r="I454"/>
      <c r="J454"/>
      <c r="K454"/>
      <c r="L454"/>
      <c r="M454"/>
      <c r="N454"/>
    </row>
    <row r="455" spans="9:14" x14ac:dyDescent="0.25">
      <c r="I455"/>
      <c r="J455"/>
      <c r="K455"/>
      <c r="L455"/>
      <c r="M455"/>
      <c r="N455"/>
    </row>
    <row r="456" spans="9:14" x14ac:dyDescent="0.25">
      <c r="I456"/>
      <c r="J456"/>
      <c r="K456"/>
      <c r="L456"/>
      <c r="M456"/>
      <c r="N456"/>
    </row>
    <row r="457" spans="9:14" x14ac:dyDescent="0.25">
      <c r="I457"/>
      <c r="J457"/>
      <c r="K457"/>
      <c r="L457"/>
      <c r="M457"/>
      <c r="N457"/>
    </row>
    <row r="458" spans="9:14" x14ac:dyDescent="0.25">
      <c r="I458"/>
      <c r="J458"/>
      <c r="K458"/>
      <c r="L458"/>
      <c r="M458"/>
      <c r="N458"/>
    </row>
    <row r="459" spans="9:14" x14ac:dyDescent="0.25">
      <c r="I459"/>
      <c r="J459"/>
      <c r="K459"/>
      <c r="L459"/>
      <c r="M459"/>
      <c r="N459"/>
    </row>
    <row r="460" spans="9:14" x14ac:dyDescent="0.25">
      <c r="I460"/>
      <c r="J460"/>
      <c r="K460"/>
      <c r="L460"/>
      <c r="M460"/>
      <c r="N460"/>
    </row>
    <row r="461" spans="9:14" x14ac:dyDescent="0.25">
      <c r="I461"/>
      <c r="J461"/>
      <c r="K461"/>
      <c r="L461"/>
      <c r="M461"/>
      <c r="N461"/>
    </row>
    <row r="462" spans="9:14" x14ac:dyDescent="0.25">
      <c r="I462"/>
      <c r="J462"/>
      <c r="K462"/>
      <c r="L462"/>
      <c r="M462"/>
      <c r="N462"/>
    </row>
    <row r="463" spans="9:14" x14ac:dyDescent="0.25">
      <c r="I463"/>
      <c r="J463"/>
      <c r="K463"/>
      <c r="L463"/>
      <c r="M463"/>
      <c r="N463"/>
    </row>
    <row r="464" spans="9:14" x14ac:dyDescent="0.25">
      <c r="I464"/>
      <c r="J464"/>
      <c r="K464"/>
      <c r="L464"/>
      <c r="M464"/>
      <c r="N464"/>
    </row>
    <row r="465" spans="9:14" x14ac:dyDescent="0.25">
      <c r="I465"/>
      <c r="J465"/>
      <c r="K465"/>
      <c r="L465"/>
      <c r="M465"/>
      <c r="N465"/>
    </row>
    <row r="466" spans="9:14" x14ac:dyDescent="0.25">
      <c r="I466"/>
      <c r="J466"/>
      <c r="K466"/>
      <c r="L466"/>
      <c r="M466"/>
      <c r="N466"/>
    </row>
    <row r="467" spans="9:14" x14ac:dyDescent="0.25">
      <c r="I467"/>
      <c r="J467"/>
      <c r="K467"/>
      <c r="L467"/>
      <c r="M467"/>
      <c r="N467"/>
    </row>
    <row r="468" spans="9:14" x14ac:dyDescent="0.25">
      <c r="I468"/>
      <c r="J468"/>
      <c r="K468"/>
      <c r="L468"/>
      <c r="M468"/>
      <c r="N468"/>
    </row>
    <row r="469" spans="9:14" x14ac:dyDescent="0.25">
      <c r="I469"/>
      <c r="J469"/>
      <c r="K469"/>
      <c r="L469"/>
      <c r="M469"/>
      <c r="N469"/>
    </row>
    <row r="470" spans="9:14" x14ac:dyDescent="0.25">
      <c r="I470"/>
      <c r="J470"/>
      <c r="K470"/>
      <c r="L470"/>
      <c r="M470"/>
      <c r="N470"/>
    </row>
    <row r="471" spans="9:14" x14ac:dyDescent="0.25">
      <c r="I471"/>
      <c r="J471"/>
      <c r="K471"/>
      <c r="L471"/>
      <c r="M471"/>
      <c r="N471"/>
    </row>
    <row r="472" spans="9:14" x14ac:dyDescent="0.25">
      <c r="I472"/>
      <c r="J472"/>
      <c r="K472"/>
      <c r="L472"/>
      <c r="M472"/>
      <c r="N472"/>
    </row>
    <row r="473" spans="9:14" x14ac:dyDescent="0.25">
      <c r="I473"/>
      <c r="J473"/>
      <c r="K473"/>
      <c r="L473"/>
      <c r="M473"/>
      <c r="N473"/>
    </row>
    <row r="474" spans="9:14" x14ac:dyDescent="0.25">
      <c r="I474"/>
      <c r="J474"/>
      <c r="K474"/>
      <c r="L474"/>
      <c r="M474"/>
      <c r="N474"/>
    </row>
    <row r="475" spans="9:14" x14ac:dyDescent="0.25">
      <c r="I475"/>
      <c r="J475"/>
      <c r="K475"/>
      <c r="L475"/>
      <c r="M475"/>
      <c r="N475"/>
    </row>
    <row r="476" spans="9:14" x14ac:dyDescent="0.25">
      <c r="I476"/>
      <c r="J476"/>
      <c r="K476"/>
      <c r="L476"/>
      <c r="M476"/>
      <c r="N476"/>
    </row>
    <row r="477" spans="9:14" x14ac:dyDescent="0.25">
      <c r="I477"/>
      <c r="J477"/>
      <c r="K477"/>
      <c r="L477"/>
      <c r="M477"/>
      <c r="N477"/>
    </row>
    <row r="478" spans="9:14" x14ac:dyDescent="0.25">
      <c r="I478"/>
      <c r="J478"/>
      <c r="K478"/>
      <c r="L478"/>
      <c r="M478"/>
      <c r="N478"/>
    </row>
    <row r="479" spans="9:14" x14ac:dyDescent="0.25">
      <c r="I479"/>
      <c r="J479"/>
      <c r="K479"/>
      <c r="L479"/>
      <c r="M479"/>
      <c r="N479"/>
    </row>
    <row r="480" spans="9:14" x14ac:dyDescent="0.25">
      <c r="I480"/>
      <c r="J480"/>
      <c r="K480"/>
      <c r="L480"/>
      <c r="M480"/>
      <c r="N480"/>
    </row>
    <row r="481" spans="9:14" x14ac:dyDescent="0.25">
      <c r="I481"/>
      <c r="J481"/>
      <c r="K481"/>
      <c r="L481"/>
      <c r="M481"/>
      <c r="N481"/>
    </row>
    <row r="482" spans="9:14" x14ac:dyDescent="0.25">
      <c r="I482"/>
      <c r="J482"/>
      <c r="K482"/>
      <c r="L482"/>
      <c r="M482"/>
      <c r="N482"/>
    </row>
    <row r="483" spans="9:14" x14ac:dyDescent="0.25">
      <c r="I483"/>
      <c r="J483"/>
      <c r="K483"/>
      <c r="L483"/>
      <c r="M483"/>
      <c r="N483"/>
    </row>
    <row r="484" spans="9:14" x14ac:dyDescent="0.25">
      <c r="I484"/>
      <c r="J484"/>
      <c r="K484"/>
      <c r="L484"/>
      <c r="M484"/>
      <c r="N484"/>
    </row>
    <row r="485" spans="9:14" x14ac:dyDescent="0.25">
      <c r="I485"/>
      <c r="J485"/>
      <c r="K485"/>
      <c r="L485"/>
      <c r="M485"/>
      <c r="N485"/>
    </row>
    <row r="486" spans="9:14" x14ac:dyDescent="0.25">
      <c r="I486"/>
      <c r="J486"/>
      <c r="K486"/>
      <c r="L486"/>
      <c r="M486"/>
      <c r="N486"/>
    </row>
    <row r="487" spans="9:14" x14ac:dyDescent="0.25">
      <c r="I487"/>
      <c r="J487"/>
      <c r="K487"/>
      <c r="L487"/>
      <c r="M487"/>
      <c r="N487"/>
    </row>
    <row r="488" spans="9:14" x14ac:dyDescent="0.25">
      <c r="I488"/>
      <c r="J488"/>
      <c r="K488"/>
      <c r="L488"/>
      <c r="M488"/>
      <c r="N488"/>
    </row>
    <row r="489" spans="9:14" x14ac:dyDescent="0.25">
      <c r="I489"/>
      <c r="J489"/>
      <c r="K489"/>
      <c r="L489"/>
      <c r="M489"/>
      <c r="N489"/>
    </row>
    <row r="490" spans="9:14" x14ac:dyDescent="0.25">
      <c r="I490"/>
      <c r="J490"/>
      <c r="K490"/>
      <c r="L490"/>
      <c r="M490"/>
      <c r="N490"/>
    </row>
    <row r="491" spans="9:14" x14ac:dyDescent="0.25">
      <c r="I491"/>
      <c r="J491"/>
      <c r="K491"/>
      <c r="L491"/>
      <c r="M491"/>
      <c r="N491"/>
    </row>
    <row r="492" spans="9:14" x14ac:dyDescent="0.25">
      <c r="I492"/>
      <c r="J492"/>
      <c r="K492"/>
      <c r="L492"/>
      <c r="M492"/>
      <c r="N492"/>
    </row>
    <row r="493" spans="9:14" x14ac:dyDescent="0.25">
      <c r="I493"/>
      <c r="J493"/>
      <c r="K493"/>
      <c r="L493"/>
      <c r="M493"/>
      <c r="N493"/>
    </row>
    <row r="494" spans="9:14" x14ac:dyDescent="0.25">
      <c r="I494"/>
      <c r="J494"/>
      <c r="K494"/>
      <c r="L494"/>
      <c r="M494"/>
      <c r="N494"/>
    </row>
    <row r="495" spans="9:14" x14ac:dyDescent="0.25">
      <c r="I495"/>
      <c r="J495"/>
      <c r="K495"/>
      <c r="L495"/>
      <c r="M495"/>
      <c r="N495"/>
    </row>
    <row r="496" spans="9:14" x14ac:dyDescent="0.25">
      <c r="I496"/>
      <c r="J496"/>
      <c r="K496"/>
      <c r="L496"/>
      <c r="M496"/>
      <c r="N496"/>
    </row>
    <row r="497" spans="9:14" x14ac:dyDescent="0.25">
      <c r="I497"/>
      <c r="J497"/>
      <c r="K497"/>
      <c r="L497"/>
      <c r="M497"/>
      <c r="N497"/>
    </row>
    <row r="498" spans="9:14" x14ac:dyDescent="0.25">
      <c r="I498"/>
      <c r="J498"/>
      <c r="K498"/>
      <c r="L498"/>
      <c r="M498"/>
      <c r="N498"/>
    </row>
    <row r="499" spans="9:14" x14ac:dyDescent="0.25">
      <c r="I499"/>
      <c r="J499"/>
      <c r="K499"/>
      <c r="L499"/>
      <c r="M499"/>
      <c r="N499"/>
    </row>
    <row r="500" spans="9:14" x14ac:dyDescent="0.25">
      <c r="I500"/>
      <c r="J500"/>
      <c r="K500"/>
      <c r="L500"/>
      <c r="M500"/>
      <c r="N500"/>
    </row>
    <row r="501" spans="9:14" x14ac:dyDescent="0.25">
      <c r="I501"/>
      <c r="J501"/>
      <c r="K501"/>
      <c r="L501"/>
      <c r="M501"/>
      <c r="N501"/>
    </row>
    <row r="502" spans="9:14" x14ac:dyDescent="0.25">
      <c r="I502"/>
      <c r="J502"/>
      <c r="K502"/>
      <c r="L502"/>
      <c r="M502"/>
      <c r="N502"/>
    </row>
    <row r="503" spans="9:14" x14ac:dyDescent="0.25">
      <c r="I503"/>
      <c r="J503"/>
      <c r="K503"/>
      <c r="L503"/>
      <c r="M503"/>
      <c r="N503"/>
    </row>
    <row r="504" spans="9:14" x14ac:dyDescent="0.25">
      <c r="I504"/>
      <c r="J504"/>
      <c r="K504"/>
      <c r="L504"/>
      <c r="M504"/>
      <c r="N504"/>
    </row>
    <row r="505" spans="9:14" x14ac:dyDescent="0.25">
      <c r="I505"/>
      <c r="J505"/>
      <c r="K505"/>
      <c r="L505"/>
      <c r="M505"/>
      <c r="N505"/>
    </row>
    <row r="506" spans="9:14" x14ac:dyDescent="0.25">
      <c r="I506"/>
      <c r="J506"/>
      <c r="K506"/>
      <c r="L506"/>
      <c r="M506"/>
      <c r="N506"/>
    </row>
    <row r="507" spans="9:14" x14ac:dyDescent="0.25">
      <c r="I507"/>
      <c r="J507"/>
      <c r="K507"/>
      <c r="L507"/>
      <c r="M507"/>
      <c r="N507"/>
    </row>
    <row r="508" spans="9:14" x14ac:dyDescent="0.25">
      <c r="I508"/>
      <c r="J508"/>
      <c r="K508"/>
      <c r="L508"/>
      <c r="M508"/>
      <c r="N508"/>
    </row>
    <row r="509" spans="9:14" x14ac:dyDescent="0.25">
      <c r="I509"/>
      <c r="J509"/>
      <c r="K509"/>
      <c r="L509"/>
      <c r="M509"/>
      <c r="N509"/>
    </row>
    <row r="510" spans="9:14" x14ac:dyDescent="0.25">
      <c r="I510"/>
      <c r="J510"/>
      <c r="K510"/>
      <c r="L510"/>
      <c r="M510"/>
      <c r="N510"/>
    </row>
    <row r="511" spans="9:14" x14ac:dyDescent="0.25">
      <c r="I511"/>
      <c r="J511"/>
      <c r="K511"/>
      <c r="L511"/>
      <c r="M511"/>
      <c r="N511"/>
    </row>
    <row r="512" spans="9:14" x14ac:dyDescent="0.25">
      <c r="I512"/>
      <c r="J512"/>
      <c r="K512"/>
      <c r="L512"/>
      <c r="M512"/>
      <c r="N512"/>
    </row>
    <row r="513" spans="9:14" x14ac:dyDescent="0.25">
      <c r="I513"/>
      <c r="J513"/>
      <c r="K513"/>
      <c r="L513"/>
      <c r="M513"/>
      <c r="N513"/>
    </row>
    <row r="514" spans="9:14" x14ac:dyDescent="0.25">
      <c r="I514"/>
      <c r="J514"/>
      <c r="K514"/>
      <c r="L514"/>
      <c r="M514"/>
      <c r="N514"/>
    </row>
    <row r="515" spans="9:14" x14ac:dyDescent="0.25">
      <c r="I515"/>
      <c r="J515"/>
      <c r="K515"/>
      <c r="L515"/>
      <c r="M515"/>
      <c r="N515"/>
    </row>
    <row r="516" spans="9:14" x14ac:dyDescent="0.25">
      <c r="I516"/>
      <c r="J516"/>
      <c r="K516"/>
      <c r="L516"/>
      <c r="M516"/>
      <c r="N516"/>
    </row>
    <row r="517" spans="9:14" x14ac:dyDescent="0.25">
      <c r="I517"/>
      <c r="J517"/>
      <c r="K517"/>
      <c r="L517"/>
      <c r="M517"/>
      <c r="N517"/>
    </row>
    <row r="518" spans="9:14" x14ac:dyDescent="0.25">
      <c r="I518"/>
      <c r="J518"/>
      <c r="K518"/>
      <c r="L518"/>
      <c r="M518"/>
      <c r="N518"/>
    </row>
    <row r="519" spans="9:14" x14ac:dyDescent="0.25">
      <c r="I519"/>
      <c r="J519"/>
      <c r="K519"/>
      <c r="L519"/>
      <c r="M519"/>
      <c r="N519"/>
    </row>
    <row r="520" spans="9:14" x14ac:dyDescent="0.25">
      <c r="I520"/>
      <c r="J520"/>
      <c r="K520"/>
      <c r="L520"/>
      <c r="M520"/>
      <c r="N520"/>
    </row>
    <row r="521" spans="9:14" x14ac:dyDescent="0.25">
      <c r="I521"/>
      <c r="J521"/>
      <c r="K521"/>
      <c r="L521"/>
      <c r="M521"/>
      <c r="N521"/>
    </row>
    <row r="522" spans="9:14" x14ac:dyDescent="0.25">
      <c r="I522"/>
      <c r="J522"/>
      <c r="K522"/>
      <c r="L522"/>
      <c r="M522"/>
      <c r="N522"/>
    </row>
    <row r="523" spans="9:14" x14ac:dyDescent="0.25">
      <c r="I523"/>
      <c r="J523"/>
      <c r="K523"/>
      <c r="L523"/>
      <c r="M523"/>
      <c r="N523"/>
    </row>
    <row r="524" spans="9:14" x14ac:dyDescent="0.25">
      <c r="I524"/>
      <c r="J524"/>
      <c r="K524"/>
      <c r="L524"/>
      <c r="M524"/>
      <c r="N524"/>
    </row>
    <row r="525" spans="9:14" x14ac:dyDescent="0.25">
      <c r="I525"/>
      <c r="J525"/>
      <c r="K525"/>
      <c r="L525"/>
      <c r="M525"/>
      <c r="N525"/>
    </row>
    <row r="526" spans="9:14" x14ac:dyDescent="0.25">
      <c r="I526"/>
      <c r="J526"/>
      <c r="K526"/>
      <c r="L526"/>
      <c r="M526"/>
      <c r="N526"/>
    </row>
    <row r="527" spans="9:14" x14ac:dyDescent="0.25">
      <c r="I527"/>
      <c r="J527"/>
      <c r="K527"/>
      <c r="L527"/>
      <c r="M527"/>
      <c r="N527"/>
    </row>
    <row r="528" spans="9:14" x14ac:dyDescent="0.25">
      <c r="I528"/>
      <c r="J528"/>
      <c r="K528"/>
      <c r="L528"/>
      <c r="M528"/>
      <c r="N528"/>
    </row>
    <row r="529" spans="9:14" x14ac:dyDescent="0.25">
      <c r="I529"/>
      <c r="J529"/>
      <c r="K529"/>
      <c r="L529"/>
      <c r="M529"/>
      <c r="N529"/>
    </row>
    <row r="530" spans="9:14" x14ac:dyDescent="0.25">
      <c r="I530"/>
      <c r="J530"/>
      <c r="K530"/>
      <c r="L530"/>
      <c r="M530"/>
      <c r="N530"/>
    </row>
    <row r="531" spans="9:14" x14ac:dyDescent="0.25">
      <c r="I531"/>
      <c r="J531"/>
      <c r="K531"/>
      <c r="L531"/>
      <c r="M531"/>
      <c r="N531"/>
    </row>
    <row r="532" spans="9:14" x14ac:dyDescent="0.25">
      <c r="I532"/>
      <c r="J532"/>
      <c r="K532"/>
      <c r="L532"/>
      <c r="M532"/>
      <c r="N532"/>
    </row>
    <row r="533" spans="9:14" x14ac:dyDescent="0.25">
      <c r="I533"/>
      <c r="J533"/>
      <c r="K533"/>
      <c r="L533"/>
      <c r="M533"/>
      <c r="N533"/>
    </row>
    <row r="534" spans="9:14" x14ac:dyDescent="0.25">
      <c r="I534"/>
      <c r="J534"/>
      <c r="K534"/>
      <c r="L534"/>
      <c r="M534"/>
      <c r="N534"/>
    </row>
    <row r="535" spans="9:14" x14ac:dyDescent="0.25">
      <c r="I535"/>
      <c r="J535"/>
      <c r="K535"/>
      <c r="L535"/>
      <c r="M535"/>
      <c r="N535"/>
    </row>
    <row r="536" spans="9:14" x14ac:dyDescent="0.25">
      <c r="I536"/>
      <c r="J536"/>
      <c r="K536"/>
      <c r="L536"/>
      <c r="M536"/>
      <c r="N536"/>
    </row>
    <row r="537" spans="9:14" x14ac:dyDescent="0.25">
      <c r="I537"/>
      <c r="J537"/>
      <c r="K537"/>
      <c r="L537"/>
      <c r="M537"/>
      <c r="N537"/>
    </row>
    <row r="538" spans="9:14" x14ac:dyDescent="0.25">
      <c r="I538"/>
      <c r="J538"/>
      <c r="K538"/>
      <c r="L538"/>
      <c r="M538"/>
      <c r="N538"/>
    </row>
    <row r="539" spans="9:14" x14ac:dyDescent="0.25">
      <c r="I539"/>
      <c r="J539"/>
      <c r="K539"/>
      <c r="L539"/>
      <c r="M539"/>
      <c r="N539"/>
    </row>
    <row r="540" spans="9:14" x14ac:dyDescent="0.25">
      <c r="I540"/>
      <c r="J540"/>
      <c r="K540"/>
      <c r="L540"/>
      <c r="M540"/>
      <c r="N540"/>
    </row>
    <row r="541" spans="9:14" x14ac:dyDescent="0.25">
      <c r="I541"/>
      <c r="J541"/>
      <c r="K541"/>
      <c r="L541"/>
      <c r="M541"/>
      <c r="N541"/>
    </row>
    <row r="542" spans="9:14" x14ac:dyDescent="0.25">
      <c r="I542"/>
      <c r="J542"/>
      <c r="K542"/>
      <c r="L542"/>
      <c r="M542"/>
      <c r="N542"/>
    </row>
    <row r="543" spans="9:14" x14ac:dyDescent="0.25">
      <c r="I543"/>
      <c r="J543"/>
      <c r="K543"/>
      <c r="L543"/>
      <c r="M543"/>
      <c r="N543"/>
    </row>
    <row r="544" spans="9:14" x14ac:dyDescent="0.25">
      <c r="I544"/>
      <c r="J544"/>
      <c r="K544"/>
      <c r="L544"/>
      <c r="M544"/>
      <c r="N544"/>
    </row>
    <row r="545" spans="9:14" x14ac:dyDescent="0.25">
      <c r="I545"/>
      <c r="J545"/>
      <c r="K545"/>
      <c r="L545"/>
      <c r="M545"/>
      <c r="N545"/>
    </row>
    <row r="546" spans="9:14" x14ac:dyDescent="0.25">
      <c r="I546"/>
      <c r="J546"/>
      <c r="K546"/>
      <c r="L546"/>
      <c r="M546"/>
      <c r="N546"/>
    </row>
    <row r="547" spans="9:14" x14ac:dyDescent="0.25">
      <c r="I547"/>
      <c r="J547"/>
      <c r="K547"/>
      <c r="L547"/>
      <c r="M547"/>
      <c r="N547"/>
    </row>
    <row r="548" spans="9:14" x14ac:dyDescent="0.25">
      <c r="I548"/>
      <c r="J548"/>
      <c r="K548"/>
      <c r="L548"/>
      <c r="M548"/>
      <c r="N548"/>
    </row>
    <row r="549" spans="9:14" x14ac:dyDescent="0.25">
      <c r="I549"/>
      <c r="J549"/>
      <c r="K549"/>
      <c r="L549"/>
      <c r="M549"/>
      <c r="N549"/>
    </row>
    <row r="550" spans="9:14" x14ac:dyDescent="0.25">
      <c r="I550"/>
      <c r="J550"/>
      <c r="K550"/>
      <c r="L550"/>
      <c r="M550"/>
      <c r="N550"/>
    </row>
    <row r="551" spans="9:14" x14ac:dyDescent="0.25">
      <c r="I551"/>
      <c r="J551"/>
      <c r="K551"/>
      <c r="L551"/>
      <c r="M551"/>
      <c r="N551"/>
    </row>
    <row r="552" spans="9:14" x14ac:dyDescent="0.25">
      <c r="I552"/>
      <c r="J552"/>
      <c r="K552"/>
      <c r="L552"/>
      <c r="M552"/>
      <c r="N552"/>
    </row>
    <row r="553" spans="9:14" x14ac:dyDescent="0.25">
      <c r="I553"/>
      <c r="J553"/>
      <c r="K553"/>
      <c r="L553"/>
      <c r="M553"/>
      <c r="N553"/>
    </row>
    <row r="554" spans="9:14" x14ac:dyDescent="0.25">
      <c r="I554"/>
      <c r="J554"/>
      <c r="K554"/>
      <c r="L554"/>
      <c r="M554"/>
      <c r="N554"/>
    </row>
    <row r="555" spans="9:14" x14ac:dyDescent="0.25">
      <c r="I555"/>
      <c r="J555"/>
      <c r="K555"/>
      <c r="L555"/>
      <c r="M555"/>
      <c r="N555"/>
    </row>
    <row r="556" spans="9:14" x14ac:dyDescent="0.25">
      <c r="I556"/>
      <c r="J556"/>
      <c r="K556"/>
      <c r="L556"/>
      <c r="M556"/>
      <c r="N556"/>
    </row>
    <row r="557" spans="9:14" x14ac:dyDescent="0.25">
      <c r="I557"/>
      <c r="J557"/>
      <c r="K557"/>
      <c r="L557"/>
      <c r="M557"/>
      <c r="N557"/>
    </row>
    <row r="558" spans="9:14" x14ac:dyDescent="0.25">
      <c r="I558"/>
      <c r="J558"/>
      <c r="K558"/>
      <c r="L558"/>
      <c r="M558"/>
      <c r="N558"/>
    </row>
    <row r="559" spans="9:14" x14ac:dyDescent="0.25">
      <c r="I559"/>
      <c r="J559"/>
      <c r="K559"/>
      <c r="L559"/>
      <c r="M559"/>
      <c r="N559"/>
    </row>
    <row r="560" spans="9:14" x14ac:dyDescent="0.25">
      <c r="I560"/>
      <c r="J560"/>
      <c r="K560"/>
      <c r="L560"/>
      <c r="M560"/>
      <c r="N560"/>
    </row>
    <row r="561" spans="9:14" x14ac:dyDescent="0.25">
      <c r="I561"/>
      <c r="J561"/>
      <c r="K561"/>
      <c r="L561"/>
      <c r="M561"/>
      <c r="N561"/>
    </row>
    <row r="562" spans="9:14" x14ac:dyDescent="0.25">
      <c r="I562"/>
      <c r="J562"/>
      <c r="K562"/>
      <c r="L562"/>
      <c r="M562"/>
      <c r="N562"/>
    </row>
    <row r="563" spans="9:14" x14ac:dyDescent="0.25">
      <c r="I563"/>
      <c r="J563"/>
      <c r="K563"/>
      <c r="L563"/>
      <c r="M563"/>
      <c r="N563"/>
    </row>
    <row r="564" spans="9:14" x14ac:dyDescent="0.25">
      <c r="I564"/>
      <c r="J564"/>
      <c r="K564"/>
      <c r="L564"/>
      <c r="M564"/>
      <c r="N564"/>
    </row>
    <row r="565" spans="9:14" x14ac:dyDescent="0.25">
      <c r="I565"/>
      <c r="J565"/>
      <c r="K565"/>
      <c r="L565"/>
      <c r="M565"/>
      <c r="N565"/>
    </row>
    <row r="566" spans="9:14" x14ac:dyDescent="0.25">
      <c r="I566"/>
      <c r="J566"/>
      <c r="K566"/>
      <c r="L566"/>
      <c r="M566"/>
      <c r="N566"/>
    </row>
    <row r="567" spans="9:14" x14ac:dyDescent="0.25">
      <c r="I567"/>
      <c r="J567"/>
      <c r="K567"/>
      <c r="L567"/>
      <c r="M567"/>
      <c r="N567"/>
    </row>
    <row r="568" spans="9:14" x14ac:dyDescent="0.25">
      <c r="I568"/>
      <c r="J568"/>
      <c r="K568"/>
      <c r="L568"/>
      <c r="M568"/>
      <c r="N568"/>
    </row>
    <row r="569" spans="9:14" x14ac:dyDescent="0.25">
      <c r="I569"/>
      <c r="J569"/>
      <c r="K569"/>
      <c r="L569"/>
      <c r="M569"/>
      <c r="N569"/>
    </row>
    <row r="570" spans="9:14" x14ac:dyDescent="0.25">
      <c r="I570"/>
      <c r="J570"/>
      <c r="K570"/>
      <c r="L570"/>
      <c r="M570"/>
      <c r="N570"/>
    </row>
    <row r="571" spans="9:14" x14ac:dyDescent="0.25">
      <c r="I571"/>
      <c r="J571"/>
      <c r="K571"/>
      <c r="L571"/>
      <c r="M571"/>
      <c r="N571"/>
    </row>
    <row r="572" spans="9:14" x14ac:dyDescent="0.25">
      <c r="I572"/>
      <c r="J572"/>
      <c r="K572"/>
      <c r="L572"/>
      <c r="M572"/>
      <c r="N572"/>
    </row>
    <row r="573" spans="9:14" x14ac:dyDescent="0.25">
      <c r="I573"/>
      <c r="J573"/>
      <c r="K573"/>
      <c r="L573"/>
      <c r="M573"/>
      <c r="N573"/>
    </row>
    <row r="574" spans="9:14" x14ac:dyDescent="0.25">
      <c r="I574"/>
      <c r="J574"/>
      <c r="K574"/>
      <c r="L574"/>
      <c r="M574"/>
      <c r="N574"/>
    </row>
    <row r="575" spans="9:14" x14ac:dyDescent="0.25">
      <c r="I575"/>
      <c r="J575"/>
      <c r="K575"/>
      <c r="L575"/>
      <c r="M575"/>
      <c r="N575"/>
    </row>
    <row r="576" spans="9:14" x14ac:dyDescent="0.25">
      <c r="I576"/>
      <c r="J576"/>
      <c r="K576"/>
      <c r="L576"/>
      <c r="M576"/>
      <c r="N576"/>
    </row>
    <row r="577" spans="9:14" x14ac:dyDescent="0.25">
      <c r="I577"/>
      <c r="J577"/>
      <c r="K577"/>
      <c r="L577"/>
      <c r="M577"/>
      <c r="N577"/>
    </row>
    <row r="578" spans="9:14" x14ac:dyDescent="0.25">
      <c r="I578"/>
      <c r="J578"/>
      <c r="K578"/>
      <c r="L578"/>
      <c r="M578"/>
      <c r="N578"/>
    </row>
    <row r="579" spans="9:14" x14ac:dyDescent="0.25">
      <c r="I579"/>
      <c r="J579"/>
      <c r="K579"/>
      <c r="L579"/>
      <c r="M579"/>
      <c r="N579"/>
    </row>
    <row r="580" spans="9:14" x14ac:dyDescent="0.25">
      <c r="I580"/>
      <c r="J580"/>
      <c r="K580"/>
      <c r="L580"/>
      <c r="M580"/>
      <c r="N580"/>
    </row>
    <row r="581" spans="9:14" x14ac:dyDescent="0.25">
      <c r="I581"/>
      <c r="J581"/>
      <c r="K581"/>
      <c r="L581"/>
      <c r="M581"/>
      <c r="N581"/>
    </row>
    <row r="582" spans="9:14" x14ac:dyDescent="0.25">
      <c r="I582"/>
      <c r="J582"/>
      <c r="K582"/>
      <c r="L582"/>
      <c r="M582"/>
      <c r="N582"/>
    </row>
    <row r="583" spans="9:14" x14ac:dyDescent="0.25">
      <c r="I583"/>
      <c r="J583"/>
      <c r="K583"/>
      <c r="L583"/>
      <c r="M583"/>
      <c r="N583"/>
    </row>
    <row r="584" spans="9:14" x14ac:dyDescent="0.25">
      <c r="I584"/>
      <c r="J584"/>
      <c r="K584"/>
      <c r="L584"/>
      <c r="M584"/>
      <c r="N584"/>
    </row>
    <row r="585" spans="9:14" x14ac:dyDescent="0.25">
      <c r="I585"/>
      <c r="J585"/>
      <c r="K585"/>
      <c r="L585"/>
      <c r="M585"/>
      <c r="N585"/>
    </row>
    <row r="586" spans="9:14" x14ac:dyDescent="0.25">
      <c r="I586"/>
      <c r="J586"/>
      <c r="K586"/>
      <c r="L586"/>
      <c r="M586"/>
      <c r="N586"/>
    </row>
    <row r="587" spans="9:14" x14ac:dyDescent="0.25">
      <c r="I587"/>
      <c r="J587"/>
      <c r="K587"/>
      <c r="L587"/>
      <c r="M587"/>
      <c r="N587"/>
    </row>
    <row r="588" spans="9:14" x14ac:dyDescent="0.25">
      <c r="I588"/>
      <c r="J588"/>
      <c r="K588"/>
      <c r="L588"/>
      <c r="M588"/>
      <c r="N588"/>
    </row>
    <row r="589" spans="9:14" x14ac:dyDescent="0.25">
      <c r="I589"/>
      <c r="J589"/>
      <c r="K589"/>
      <c r="L589"/>
      <c r="M589"/>
      <c r="N589"/>
    </row>
    <row r="590" spans="9:14" x14ac:dyDescent="0.25">
      <c r="I590"/>
      <c r="J590"/>
      <c r="K590"/>
      <c r="L590"/>
      <c r="M590"/>
      <c r="N590"/>
    </row>
    <row r="591" spans="9:14" x14ac:dyDescent="0.25">
      <c r="I591"/>
      <c r="J591"/>
      <c r="K591"/>
      <c r="L591"/>
      <c r="M591"/>
      <c r="N591"/>
    </row>
    <row r="592" spans="9:14" x14ac:dyDescent="0.25">
      <c r="I592"/>
      <c r="J592"/>
      <c r="K592"/>
      <c r="L592"/>
      <c r="M592"/>
      <c r="N592"/>
    </row>
    <row r="593" spans="9:14" x14ac:dyDescent="0.25">
      <c r="I593"/>
      <c r="J593"/>
      <c r="K593"/>
      <c r="L593"/>
      <c r="M593"/>
      <c r="N593"/>
    </row>
    <row r="594" spans="9:14" x14ac:dyDescent="0.25">
      <c r="I594"/>
      <c r="J594"/>
      <c r="K594"/>
      <c r="L594"/>
      <c r="M594"/>
      <c r="N594"/>
    </row>
    <row r="595" spans="9:14" x14ac:dyDescent="0.25">
      <c r="I595"/>
      <c r="J595"/>
      <c r="K595"/>
      <c r="L595"/>
      <c r="M595"/>
      <c r="N595"/>
    </row>
    <row r="596" spans="9:14" x14ac:dyDescent="0.25">
      <c r="I596"/>
      <c r="J596"/>
      <c r="K596"/>
      <c r="L596"/>
      <c r="M596"/>
      <c r="N596"/>
    </row>
    <row r="597" spans="9:14" x14ac:dyDescent="0.25">
      <c r="I597"/>
      <c r="J597"/>
      <c r="K597"/>
      <c r="L597"/>
      <c r="M597"/>
      <c r="N597"/>
    </row>
    <row r="598" spans="9:14" x14ac:dyDescent="0.25">
      <c r="I598"/>
      <c r="J598"/>
      <c r="K598"/>
      <c r="L598"/>
      <c r="M598"/>
      <c r="N598"/>
    </row>
    <row r="599" spans="9:14" x14ac:dyDescent="0.25">
      <c r="I599"/>
      <c r="J599"/>
      <c r="K599"/>
      <c r="L599"/>
      <c r="M599"/>
      <c r="N599"/>
    </row>
    <row r="600" spans="9:14" x14ac:dyDescent="0.25">
      <c r="I600"/>
      <c r="J600"/>
      <c r="K600"/>
      <c r="L600"/>
      <c r="M600"/>
      <c r="N600"/>
    </row>
    <row r="601" spans="9:14" x14ac:dyDescent="0.25">
      <c r="I601"/>
      <c r="J601"/>
      <c r="K601"/>
      <c r="L601"/>
      <c r="M601"/>
      <c r="N601"/>
    </row>
    <row r="602" spans="9:14" x14ac:dyDescent="0.25">
      <c r="I602"/>
      <c r="J602"/>
      <c r="K602"/>
      <c r="L602"/>
      <c r="M602"/>
      <c r="N602"/>
    </row>
    <row r="603" spans="9:14" x14ac:dyDescent="0.25">
      <c r="I603"/>
      <c r="J603"/>
      <c r="K603"/>
      <c r="L603"/>
      <c r="M603"/>
      <c r="N603"/>
    </row>
    <row r="604" spans="9:14" x14ac:dyDescent="0.25">
      <c r="I604"/>
      <c r="J604"/>
      <c r="K604"/>
      <c r="L604"/>
      <c r="M604"/>
      <c r="N604"/>
    </row>
    <row r="605" spans="9:14" x14ac:dyDescent="0.25">
      <c r="I605"/>
      <c r="J605"/>
      <c r="K605"/>
      <c r="L605"/>
      <c r="M605"/>
      <c r="N605"/>
    </row>
    <row r="606" spans="9:14" x14ac:dyDescent="0.25">
      <c r="I606"/>
      <c r="J606"/>
      <c r="K606"/>
      <c r="L606"/>
      <c r="M606"/>
      <c r="N606"/>
    </row>
    <row r="607" spans="9:14" x14ac:dyDescent="0.25">
      <c r="I607"/>
      <c r="J607"/>
      <c r="K607"/>
      <c r="L607"/>
      <c r="M607"/>
      <c r="N607"/>
    </row>
    <row r="608" spans="9:14" x14ac:dyDescent="0.25">
      <c r="I608"/>
      <c r="J608"/>
      <c r="K608"/>
      <c r="L608"/>
      <c r="M608"/>
      <c r="N608"/>
    </row>
    <row r="609" spans="9:14" x14ac:dyDescent="0.25">
      <c r="I609"/>
      <c r="J609"/>
      <c r="K609"/>
      <c r="L609"/>
      <c r="M609"/>
      <c r="N609"/>
    </row>
    <row r="610" spans="9:14" x14ac:dyDescent="0.25">
      <c r="I610"/>
      <c r="J610"/>
      <c r="K610"/>
      <c r="L610"/>
      <c r="M610"/>
      <c r="N610"/>
    </row>
    <row r="611" spans="9:14" x14ac:dyDescent="0.25">
      <c r="I611"/>
      <c r="J611"/>
      <c r="K611"/>
      <c r="L611"/>
      <c r="M611"/>
      <c r="N611"/>
    </row>
    <row r="612" spans="9:14" x14ac:dyDescent="0.25">
      <c r="I612"/>
      <c r="J612"/>
      <c r="K612"/>
      <c r="L612"/>
      <c r="M612"/>
      <c r="N612"/>
    </row>
    <row r="613" spans="9:14" x14ac:dyDescent="0.25">
      <c r="I613"/>
      <c r="J613"/>
      <c r="K613"/>
      <c r="L613"/>
      <c r="M613"/>
      <c r="N613"/>
    </row>
    <row r="614" spans="9:14" x14ac:dyDescent="0.25">
      <c r="I614"/>
      <c r="J614"/>
      <c r="K614"/>
      <c r="L614"/>
      <c r="M614"/>
      <c r="N614"/>
    </row>
    <row r="615" spans="9:14" x14ac:dyDescent="0.25">
      <c r="I615"/>
      <c r="J615"/>
      <c r="K615"/>
      <c r="L615"/>
      <c r="M615"/>
      <c r="N615"/>
    </row>
    <row r="616" spans="9:14" x14ac:dyDescent="0.25">
      <c r="I616"/>
      <c r="J616"/>
      <c r="K616"/>
      <c r="L616"/>
      <c r="M616"/>
      <c r="N616"/>
    </row>
    <row r="617" spans="9:14" x14ac:dyDescent="0.25">
      <c r="I617"/>
      <c r="J617"/>
      <c r="K617"/>
      <c r="L617"/>
      <c r="M617"/>
      <c r="N617"/>
    </row>
    <row r="618" spans="9:14" x14ac:dyDescent="0.25">
      <c r="I618"/>
      <c r="J618"/>
      <c r="K618"/>
      <c r="L618"/>
      <c r="M618"/>
      <c r="N618"/>
    </row>
    <row r="619" spans="9:14" x14ac:dyDescent="0.25">
      <c r="I619"/>
      <c r="J619"/>
      <c r="K619"/>
      <c r="L619"/>
      <c r="M619"/>
      <c r="N619"/>
    </row>
    <row r="620" spans="9:14" x14ac:dyDescent="0.25">
      <c r="I620"/>
      <c r="J620"/>
      <c r="K620"/>
      <c r="L620"/>
      <c r="M620"/>
      <c r="N620"/>
    </row>
    <row r="621" spans="9:14" x14ac:dyDescent="0.25">
      <c r="I621"/>
      <c r="J621"/>
      <c r="K621"/>
      <c r="L621"/>
      <c r="M621"/>
      <c r="N621"/>
    </row>
    <row r="622" spans="9:14" x14ac:dyDescent="0.25">
      <c r="I622"/>
      <c r="J622"/>
      <c r="K622"/>
      <c r="L622"/>
      <c r="M622"/>
      <c r="N622"/>
    </row>
    <row r="623" spans="9:14" x14ac:dyDescent="0.25">
      <c r="I623"/>
      <c r="J623"/>
      <c r="K623"/>
      <c r="L623"/>
      <c r="M623"/>
      <c r="N623"/>
    </row>
    <row r="624" spans="9:14" x14ac:dyDescent="0.25">
      <c r="I624"/>
      <c r="J624"/>
      <c r="K624"/>
      <c r="L624"/>
      <c r="M624"/>
      <c r="N624"/>
    </row>
    <row r="625" spans="9:14" x14ac:dyDescent="0.25">
      <c r="I625"/>
      <c r="J625"/>
      <c r="K625"/>
      <c r="L625"/>
      <c r="M625"/>
      <c r="N625"/>
    </row>
    <row r="626" spans="9:14" x14ac:dyDescent="0.25">
      <c r="I626"/>
      <c r="J626"/>
      <c r="K626"/>
      <c r="L626"/>
      <c r="M626"/>
      <c r="N626"/>
    </row>
    <row r="627" spans="9:14" x14ac:dyDescent="0.25">
      <c r="I627"/>
      <c r="J627"/>
      <c r="K627"/>
      <c r="L627"/>
      <c r="M627"/>
      <c r="N627"/>
    </row>
    <row r="628" spans="9:14" x14ac:dyDescent="0.25">
      <c r="I628"/>
      <c r="J628"/>
      <c r="K628"/>
      <c r="L628"/>
      <c r="M628"/>
      <c r="N628"/>
    </row>
    <row r="629" spans="9:14" x14ac:dyDescent="0.25">
      <c r="I629"/>
      <c r="J629"/>
      <c r="K629"/>
      <c r="L629"/>
      <c r="M629"/>
      <c r="N629"/>
    </row>
    <row r="630" spans="9:14" x14ac:dyDescent="0.25">
      <c r="I630"/>
      <c r="J630"/>
      <c r="K630"/>
      <c r="L630"/>
      <c r="M630"/>
      <c r="N630"/>
    </row>
    <row r="631" spans="9:14" x14ac:dyDescent="0.25">
      <c r="I631"/>
      <c r="J631"/>
      <c r="K631"/>
      <c r="L631"/>
      <c r="M631"/>
      <c r="N631"/>
    </row>
    <row r="632" spans="9:14" x14ac:dyDescent="0.25">
      <c r="I632"/>
      <c r="J632"/>
      <c r="K632"/>
      <c r="L632"/>
      <c r="M632"/>
      <c r="N632"/>
    </row>
    <row r="633" spans="9:14" x14ac:dyDescent="0.25">
      <c r="I633"/>
      <c r="J633"/>
      <c r="K633"/>
      <c r="L633"/>
      <c r="M633"/>
      <c r="N633"/>
    </row>
    <row r="634" spans="9:14" x14ac:dyDescent="0.25">
      <c r="I634"/>
      <c r="J634"/>
      <c r="K634"/>
      <c r="L634"/>
      <c r="M634"/>
      <c r="N634"/>
    </row>
    <row r="635" spans="9:14" x14ac:dyDescent="0.25">
      <c r="I635"/>
      <c r="J635"/>
      <c r="K635"/>
      <c r="L635"/>
      <c r="M635"/>
      <c r="N635"/>
    </row>
    <row r="636" spans="9:14" x14ac:dyDescent="0.25">
      <c r="I636"/>
      <c r="J636"/>
      <c r="K636"/>
      <c r="L636"/>
      <c r="M636"/>
      <c r="N636"/>
    </row>
    <row r="637" spans="9:14" x14ac:dyDescent="0.25">
      <c r="I637"/>
      <c r="J637"/>
      <c r="K637"/>
      <c r="L637"/>
      <c r="M637"/>
      <c r="N637"/>
    </row>
    <row r="638" spans="9:14" x14ac:dyDescent="0.25">
      <c r="I638"/>
      <c r="J638"/>
      <c r="K638"/>
      <c r="L638"/>
      <c r="M638"/>
      <c r="N638"/>
    </row>
    <row r="639" spans="9:14" x14ac:dyDescent="0.25">
      <c r="I639"/>
      <c r="J639"/>
      <c r="K639"/>
      <c r="L639"/>
      <c r="M639"/>
      <c r="N639"/>
    </row>
    <row r="640" spans="9:14" x14ac:dyDescent="0.25">
      <c r="I640"/>
      <c r="J640"/>
      <c r="K640"/>
      <c r="L640"/>
      <c r="M640"/>
      <c r="N640"/>
    </row>
    <row r="641" spans="9:14" x14ac:dyDescent="0.25">
      <c r="I641"/>
      <c r="J641"/>
      <c r="K641"/>
      <c r="L641"/>
      <c r="M641"/>
      <c r="N641"/>
    </row>
    <row r="642" spans="9:14" x14ac:dyDescent="0.25">
      <c r="I642"/>
      <c r="J642"/>
      <c r="K642"/>
      <c r="L642"/>
      <c r="M642"/>
      <c r="N642"/>
    </row>
    <row r="643" spans="9:14" x14ac:dyDescent="0.25">
      <c r="I643"/>
      <c r="J643"/>
      <c r="K643"/>
      <c r="L643"/>
      <c r="M643"/>
      <c r="N643"/>
    </row>
    <row r="644" spans="9:14" x14ac:dyDescent="0.25">
      <c r="I644"/>
      <c r="J644"/>
      <c r="K644"/>
      <c r="L644"/>
      <c r="M644"/>
      <c r="N644"/>
    </row>
    <row r="645" spans="9:14" x14ac:dyDescent="0.25">
      <c r="I645"/>
      <c r="J645"/>
      <c r="K645"/>
      <c r="L645"/>
      <c r="M645"/>
      <c r="N645"/>
    </row>
    <row r="646" spans="9:14" x14ac:dyDescent="0.25">
      <c r="I646"/>
      <c r="J646"/>
      <c r="K646"/>
      <c r="L646"/>
      <c r="M646"/>
      <c r="N646"/>
    </row>
    <row r="647" spans="9:14" x14ac:dyDescent="0.25">
      <c r="I647"/>
      <c r="J647"/>
      <c r="K647"/>
      <c r="L647"/>
      <c r="M647"/>
      <c r="N647"/>
    </row>
    <row r="648" spans="9:14" x14ac:dyDescent="0.25">
      <c r="I648"/>
      <c r="J648"/>
      <c r="K648"/>
      <c r="L648"/>
      <c r="M648"/>
      <c r="N648"/>
    </row>
    <row r="649" spans="9:14" x14ac:dyDescent="0.25">
      <c r="I649"/>
      <c r="J649"/>
      <c r="K649"/>
      <c r="L649"/>
      <c r="M649"/>
      <c r="N649"/>
    </row>
    <row r="650" spans="9:14" x14ac:dyDescent="0.25">
      <c r="I650"/>
      <c r="J650"/>
      <c r="K650"/>
      <c r="L650"/>
      <c r="M650"/>
      <c r="N650"/>
    </row>
    <row r="651" spans="9:14" x14ac:dyDescent="0.25">
      <c r="I651"/>
      <c r="J651"/>
      <c r="K651"/>
      <c r="L651"/>
      <c r="M651"/>
      <c r="N651"/>
    </row>
    <row r="652" spans="9:14" x14ac:dyDescent="0.25">
      <c r="I652"/>
      <c r="J652"/>
      <c r="K652"/>
      <c r="L652"/>
      <c r="M652"/>
      <c r="N652"/>
    </row>
    <row r="653" spans="9:14" x14ac:dyDescent="0.25">
      <c r="I653"/>
      <c r="J653"/>
      <c r="K653"/>
      <c r="L653"/>
      <c r="M653"/>
      <c r="N653"/>
    </row>
    <row r="654" spans="9:14" x14ac:dyDescent="0.25">
      <c r="I654"/>
      <c r="J654"/>
      <c r="K654"/>
      <c r="L654"/>
      <c r="M654"/>
      <c r="N654"/>
    </row>
    <row r="655" spans="9:14" x14ac:dyDescent="0.25">
      <c r="I655"/>
      <c r="J655"/>
      <c r="K655"/>
      <c r="L655"/>
      <c r="M655"/>
      <c r="N655"/>
    </row>
    <row r="656" spans="9:14" x14ac:dyDescent="0.25">
      <c r="I656"/>
      <c r="J656"/>
      <c r="K656"/>
      <c r="L656"/>
      <c r="M656"/>
      <c r="N656"/>
    </row>
    <row r="657" spans="9:14" x14ac:dyDescent="0.25">
      <c r="I657"/>
      <c r="J657"/>
      <c r="K657"/>
      <c r="L657"/>
      <c r="M657"/>
      <c r="N657"/>
    </row>
    <row r="658" spans="9:14" x14ac:dyDescent="0.25">
      <c r="I658"/>
      <c r="J658"/>
      <c r="K658"/>
      <c r="L658"/>
      <c r="M658"/>
      <c r="N658"/>
    </row>
    <row r="659" spans="9:14" x14ac:dyDescent="0.25">
      <c r="I659"/>
      <c r="J659"/>
      <c r="K659"/>
      <c r="L659"/>
      <c r="M659"/>
      <c r="N659"/>
    </row>
    <row r="660" spans="9:14" x14ac:dyDescent="0.25">
      <c r="I660"/>
      <c r="J660"/>
      <c r="K660"/>
      <c r="L660"/>
      <c r="M660"/>
      <c r="N660"/>
    </row>
    <row r="661" spans="9:14" x14ac:dyDescent="0.25">
      <c r="I661"/>
      <c r="J661"/>
      <c r="K661"/>
      <c r="L661"/>
      <c r="M661"/>
      <c r="N661"/>
    </row>
    <row r="662" spans="9:14" x14ac:dyDescent="0.25">
      <c r="I662"/>
      <c r="J662"/>
      <c r="K662"/>
      <c r="L662"/>
      <c r="M662"/>
      <c r="N662"/>
    </row>
    <row r="663" spans="9:14" x14ac:dyDescent="0.25">
      <c r="I663"/>
      <c r="J663"/>
      <c r="K663"/>
      <c r="L663"/>
      <c r="M663"/>
      <c r="N663"/>
    </row>
    <row r="664" spans="9:14" x14ac:dyDescent="0.25">
      <c r="I664"/>
      <c r="J664"/>
      <c r="K664"/>
      <c r="L664"/>
      <c r="M664"/>
      <c r="N664"/>
    </row>
    <row r="665" spans="9:14" x14ac:dyDescent="0.25">
      <c r="I665"/>
      <c r="J665"/>
      <c r="K665"/>
      <c r="L665"/>
      <c r="M665"/>
      <c r="N665"/>
    </row>
    <row r="666" spans="9:14" x14ac:dyDescent="0.25">
      <c r="I666"/>
      <c r="J666"/>
      <c r="K666"/>
      <c r="L666"/>
      <c r="M666"/>
      <c r="N666"/>
    </row>
    <row r="667" spans="9:14" x14ac:dyDescent="0.25">
      <c r="I667"/>
      <c r="J667"/>
      <c r="K667"/>
      <c r="L667"/>
      <c r="M667"/>
      <c r="N667"/>
    </row>
    <row r="668" spans="9:14" x14ac:dyDescent="0.25">
      <c r="I668"/>
      <c r="J668"/>
      <c r="K668"/>
      <c r="L668"/>
      <c r="M668"/>
      <c r="N668"/>
    </row>
    <row r="669" spans="9:14" x14ac:dyDescent="0.25">
      <c r="I669"/>
      <c r="J669"/>
      <c r="K669"/>
      <c r="L669"/>
      <c r="M669"/>
      <c r="N669"/>
    </row>
    <row r="670" spans="9:14" x14ac:dyDescent="0.25">
      <c r="I670"/>
      <c r="J670"/>
      <c r="K670"/>
      <c r="L670"/>
      <c r="M670"/>
      <c r="N670"/>
    </row>
    <row r="671" spans="9:14" x14ac:dyDescent="0.25">
      <c r="I671"/>
      <c r="J671"/>
      <c r="K671"/>
      <c r="L671"/>
      <c r="M671"/>
      <c r="N671"/>
    </row>
    <row r="672" spans="9:14" x14ac:dyDescent="0.25">
      <c r="I672"/>
      <c r="J672"/>
      <c r="K672"/>
      <c r="L672"/>
      <c r="M672"/>
      <c r="N672"/>
    </row>
    <row r="673" spans="9:14" x14ac:dyDescent="0.25">
      <c r="I673"/>
      <c r="J673"/>
      <c r="K673"/>
      <c r="L673"/>
      <c r="M673"/>
      <c r="N673"/>
    </row>
    <row r="674" spans="9:14" x14ac:dyDescent="0.25">
      <c r="I674"/>
      <c r="J674"/>
      <c r="K674"/>
      <c r="L674"/>
      <c r="M674"/>
      <c r="N674"/>
    </row>
    <row r="675" spans="9:14" x14ac:dyDescent="0.25">
      <c r="I675"/>
      <c r="J675"/>
      <c r="K675"/>
      <c r="L675"/>
      <c r="M675"/>
      <c r="N675"/>
    </row>
    <row r="676" spans="9:14" x14ac:dyDescent="0.25">
      <c r="I676"/>
      <c r="J676"/>
      <c r="K676"/>
      <c r="L676"/>
      <c r="M676"/>
      <c r="N676"/>
    </row>
    <row r="677" spans="9:14" x14ac:dyDescent="0.25">
      <c r="I677"/>
      <c r="J677"/>
      <c r="K677"/>
      <c r="L677"/>
      <c r="M677"/>
      <c r="N677"/>
    </row>
    <row r="678" spans="9:14" x14ac:dyDescent="0.25">
      <c r="I678"/>
      <c r="J678"/>
      <c r="K678"/>
      <c r="L678"/>
      <c r="M678"/>
      <c r="N678"/>
    </row>
    <row r="679" spans="9:14" x14ac:dyDescent="0.25">
      <c r="I679"/>
      <c r="J679"/>
      <c r="K679"/>
      <c r="L679"/>
      <c r="M679"/>
      <c r="N679"/>
    </row>
    <row r="680" spans="9:14" x14ac:dyDescent="0.25">
      <c r="I680"/>
      <c r="J680"/>
      <c r="K680"/>
      <c r="L680"/>
      <c r="M680"/>
      <c r="N680"/>
    </row>
    <row r="681" spans="9:14" x14ac:dyDescent="0.25">
      <c r="I681"/>
      <c r="J681"/>
      <c r="K681"/>
      <c r="L681"/>
      <c r="M681"/>
      <c r="N681"/>
    </row>
    <row r="682" spans="9:14" x14ac:dyDescent="0.25">
      <c r="I682"/>
      <c r="J682"/>
      <c r="K682"/>
      <c r="L682"/>
      <c r="M682"/>
      <c r="N682"/>
    </row>
    <row r="683" spans="9:14" x14ac:dyDescent="0.25">
      <c r="I683"/>
      <c r="J683"/>
      <c r="K683"/>
      <c r="L683"/>
      <c r="M683"/>
      <c r="N683"/>
    </row>
    <row r="684" spans="9:14" x14ac:dyDescent="0.25">
      <c r="I684"/>
      <c r="J684"/>
      <c r="K684"/>
      <c r="L684"/>
      <c r="M684"/>
      <c r="N684"/>
    </row>
    <row r="685" spans="9:14" x14ac:dyDescent="0.25">
      <c r="I685"/>
      <c r="J685"/>
      <c r="K685"/>
      <c r="L685"/>
      <c r="M685"/>
      <c r="N685"/>
    </row>
    <row r="686" spans="9:14" x14ac:dyDescent="0.25">
      <c r="I686"/>
      <c r="J686"/>
      <c r="K686"/>
      <c r="L686"/>
      <c r="M686"/>
      <c r="N686"/>
    </row>
    <row r="687" spans="9:14" x14ac:dyDescent="0.25">
      <c r="I687"/>
      <c r="J687"/>
      <c r="K687"/>
      <c r="L687"/>
      <c r="M687"/>
      <c r="N687"/>
    </row>
    <row r="688" spans="9:14" x14ac:dyDescent="0.25">
      <c r="I688"/>
      <c r="J688"/>
      <c r="K688"/>
      <c r="L688"/>
      <c r="M688"/>
      <c r="N688"/>
    </row>
    <row r="689" spans="9:14" x14ac:dyDescent="0.25">
      <c r="I689"/>
      <c r="J689"/>
      <c r="K689"/>
      <c r="L689"/>
      <c r="M689"/>
      <c r="N689"/>
    </row>
    <row r="690" spans="9:14" x14ac:dyDescent="0.25">
      <c r="I690"/>
      <c r="J690"/>
      <c r="K690"/>
      <c r="L690"/>
      <c r="M690"/>
      <c r="N690"/>
    </row>
    <row r="691" spans="9:14" x14ac:dyDescent="0.25">
      <c r="I691"/>
      <c r="J691"/>
      <c r="K691"/>
      <c r="L691"/>
      <c r="M691"/>
      <c r="N691"/>
    </row>
    <row r="692" spans="9:14" x14ac:dyDescent="0.25">
      <c r="I692"/>
      <c r="J692"/>
      <c r="K692"/>
      <c r="L692"/>
      <c r="M692"/>
      <c r="N692"/>
    </row>
    <row r="693" spans="9:14" x14ac:dyDescent="0.25">
      <c r="I693"/>
      <c r="J693"/>
      <c r="K693"/>
      <c r="L693"/>
      <c r="M693"/>
      <c r="N693"/>
    </row>
    <row r="694" spans="9:14" x14ac:dyDescent="0.25">
      <c r="I694"/>
      <c r="J694"/>
      <c r="K694"/>
      <c r="L694"/>
      <c r="M694"/>
      <c r="N694"/>
    </row>
    <row r="695" spans="9:14" x14ac:dyDescent="0.25">
      <c r="I695"/>
      <c r="J695"/>
      <c r="K695"/>
      <c r="L695"/>
      <c r="M695"/>
      <c r="N695"/>
    </row>
    <row r="696" spans="9:14" x14ac:dyDescent="0.25">
      <c r="I696"/>
      <c r="J696"/>
      <c r="K696"/>
      <c r="L696"/>
      <c r="M696"/>
      <c r="N696"/>
    </row>
    <row r="697" spans="9:14" x14ac:dyDescent="0.25">
      <c r="I697"/>
      <c r="J697"/>
      <c r="K697"/>
      <c r="L697"/>
      <c r="M697"/>
      <c r="N697"/>
    </row>
    <row r="698" spans="9:14" x14ac:dyDescent="0.25">
      <c r="I698"/>
      <c r="J698"/>
      <c r="K698"/>
      <c r="L698"/>
      <c r="M698"/>
      <c r="N698"/>
    </row>
    <row r="699" spans="9:14" x14ac:dyDescent="0.25">
      <c r="I699"/>
      <c r="J699"/>
      <c r="K699"/>
      <c r="L699"/>
      <c r="M699"/>
      <c r="N699"/>
    </row>
    <row r="700" spans="9:14" x14ac:dyDescent="0.25">
      <c r="I700"/>
      <c r="J700"/>
      <c r="K700"/>
      <c r="L700"/>
      <c r="M700"/>
      <c r="N700"/>
    </row>
    <row r="701" spans="9:14" x14ac:dyDescent="0.25">
      <c r="I701"/>
      <c r="J701"/>
      <c r="K701"/>
      <c r="L701"/>
      <c r="M701"/>
      <c r="N701"/>
    </row>
    <row r="702" spans="9:14" x14ac:dyDescent="0.25">
      <c r="I702"/>
      <c r="J702"/>
      <c r="K702"/>
      <c r="L702"/>
      <c r="M702"/>
      <c r="N702"/>
    </row>
    <row r="703" spans="9:14" x14ac:dyDescent="0.25">
      <c r="I703"/>
      <c r="J703"/>
      <c r="K703"/>
      <c r="L703"/>
      <c r="M703"/>
      <c r="N703"/>
    </row>
    <row r="704" spans="9:14" x14ac:dyDescent="0.25">
      <c r="I704"/>
      <c r="J704"/>
      <c r="K704"/>
      <c r="L704"/>
      <c r="M704"/>
      <c r="N704"/>
    </row>
    <row r="705" spans="9:14" x14ac:dyDescent="0.25">
      <c r="I705"/>
      <c r="J705"/>
      <c r="K705"/>
      <c r="L705"/>
      <c r="M705"/>
      <c r="N705"/>
    </row>
    <row r="706" spans="9:14" x14ac:dyDescent="0.25">
      <c r="I706"/>
      <c r="J706"/>
      <c r="K706"/>
      <c r="L706"/>
      <c r="M706"/>
      <c r="N706"/>
    </row>
    <row r="707" spans="9:14" x14ac:dyDescent="0.25">
      <c r="I707"/>
      <c r="J707"/>
      <c r="K707"/>
      <c r="L707"/>
      <c r="M707"/>
      <c r="N707"/>
    </row>
    <row r="708" spans="9:14" x14ac:dyDescent="0.25">
      <c r="I708"/>
      <c r="J708"/>
      <c r="K708"/>
      <c r="L708"/>
      <c r="M708"/>
      <c r="N708"/>
    </row>
    <row r="709" spans="9:14" x14ac:dyDescent="0.25">
      <c r="I709"/>
      <c r="J709"/>
      <c r="K709"/>
      <c r="L709"/>
      <c r="M709"/>
      <c r="N709"/>
    </row>
    <row r="710" spans="9:14" x14ac:dyDescent="0.25">
      <c r="I710"/>
      <c r="J710"/>
      <c r="K710"/>
      <c r="L710"/>
      <c r="M710"/>
      <c r="N710"/>
    </row>
    <row r="711" spans="9:14" x14ac:dyDescent="0.25">
      <c r="I711"/>
      <c r="J711"/>
      <c r="K711"/>
      <c r="L711"/>
      <c r="M711"/>
      <c r="N711"/>
    </row>
    <row r="712" spans="9:14" x14ac:dyDescent="0.25">
      <c r="I712"/>
      <c r="J712"/>
      <c r="K712"/>
      <c r="L712"/>
      <c r="M712"/>
      <c r="N712"/>
    </row>
    <row r="713" spans="9:14" x14ac:dyDescent="0.25">
      <c r="I713"/>
      <c r="J713"/>
      <c r="K713"/>
      <c r="L713"/>
      <c r="M713"/>
      <c r="N713"/>
    </row>
    <row r="714" spans="9:14" x14ac:dyDescent="0.25">
      <c r="I714"/>
      <c r="J714"/>
      <c r="K714"/>
      <c r="L714"/>
      <c r="M714"/>
      <c r="N714"/>
    </row>
    <row r="715" spans="9:14" x14ac:dyDescent="0.25">
      <c r="I715"/>
      <c r="J715"/>
      <c r="K715"/>
      <c r="L715"/>
      <c r="M715"/>
      <c r="N715"/>
    </row>
    <row r="716" spans="9:14" x14ac:dyDescent="0.25">
      <c r="I716"/>
      <c r="J716"/>
      <c r="K716"/>
      <c r="L716"/>
      <c r="M716"/>
      <c r="N716"/>
    </row>
    <row r="717" spans="9:14" x14ac:dyDescent="0.25">
      <c r="I717"/>
      <c r="J717"/>
      <c r="K717"/>
      <c r="L717"/>
      <c r="M717"/>
      <c r="N717"/>
    </row>
    <row r="718" spans="9:14" x14ac:dyDescent="0.25">
      <c r="I718"/>
      <c r="J718"/>
      <c r="K718"/>
      <c r="L718"/>
      <c r="M718"/>
      <c r="N718"/>
    </row>
    <row r="719" spans="9:14" x14ac:dyDescent="0.25">
      <c r="I719"/>
      <c r="J719"/>
      <c r="K719"/>
      <c r="L719"/>
      <c r="M719"/>
      <c r="N719"/>
    </row>
    <row r="720" spans="9:14" x14ac:dyDescent="0.25">
      <c r="I720"/>
      <c r="J720"/>
      <c r="K720"/>
      <c r="L720"/>
      <c r="M720"/>
      <c r="N720"/>
    </row>
    <row r="721" spans="9:14" x14ac:dyDescent="0.25">
      <c r="I721"/>
      <c r="J721"/>
      <c r="K721"/>
      <c r="L721"/>
      <c r="M721"/>
      <c r="N721"/>
    </row>
    <row r="722" spans="9:14" x14ac:dyDescent="0.25">
      <c r="I722"/>
      <c r="J722"/>
      <c r="K722"/>
      <c r="L722"/>
      <c r="M722"/>
      <c r="N722"/>
    </row>
    <row r="723" spans="9:14" x14ac:dyDescent="0.25">
      <c r="I723"/>
      <c r="J723"/>
      <c r="K723"/>
      <c r="L723"/>
      <c r="M723"/>
      <c r="N723"/>
    </row>
    <row r="724" spans="9:14" x14ac:dyDescent="0.25">
      <c r="I724"/>
      <c r="J724"/>
      <c r="K724"/>
      <c r="L724"/>
      <c r="M724"/>
      <c r="N724"/>
    </row>
    <row r="725" spans="9:14" x14ac:dyDescent="0.25">
      <c r="I725"/>
      <c r="J725"/>
      <c r="K725"/>
      <c r="L725"/>
      <c r="M725"/>
      <c r="N725"/>
    </row>
    <row r="726" spans="9:14" x14ac:dyDescent="0.25">
      <c r="I726"/>
      <c r="J726"/>
      <c r="K726"/>
      <c r="L726"/>
      <c r="M726"/>
      <c r="N726"/>
    </row>
    <row r="727" spans="9:14" x14ac:dyDescent="0.25">
      <c r="I727"/>
      <c r="J727"/>
      <c r="K727"/>
      <c r="L727"/>
      <c r="M727"/>
      <c r="N727"/>
    </row>
    <row r="728" spans="9:14" x14ac:dyDescent="0.25">
      <c r="I728"/>
      <c r="J728"/>
      <c r="K728"/>
      <c r="L728"/>
      <c r="M728"/>
      <c r="N728"/>
    </row>
    <row r="729" spans="9:14" x14ac:dyDescent="0.25">
      <c r="I729"/>
      <c r="J729"/>
      <c r="K729"/>
      <c r="L729"/>
      <c r="M729"/>
      <c r="N729"/>
    </row>
    <row r="730" spans="9:14" x14ac:dyDescent="0.25">
      <c r="I730"/>
      <c r="J730"/>
      <c r="K730"/>
      <c r="L730"/>
      <c r="M730"/>
      <c r="N730"/>
    </row>
    <row r="731" spans="9:14" x14ac:dyDescent="0.25">
      <c r="I731"/>
      <c r="J731"/>
      <c r="K731"/>
      <c r="L731"/>
      <c r="M731"/>
      <c r="N731"/>
    </row>
    <row r="732" spans="9:14" x14ac:dyDescent="0.25">
      <c r="I732"/>
      <c r="J732"/>
      <c r="K732"/>
      <c r="L732"/>
      <c r="M732"/>
      <c r="N732"/>
    </row>
    <row r="733" spans="9:14" x14ac:dyDescent="0.25">
      <c r="I733"/>
      <c r="J733"/>
      <c r="K733"/>
      <c r="L733"/>
      <c r="M733"/>
      <c r="N733"/>
    </row>
    <row r="734" spans="9:14" x14ac:dyDescent="0.25">
      <c r="I734"/>
      <c r="J734"/>
      <c r="K734"/>
      <c r="L734"/>
      <c r="M734"/>
      <c r="N734"/>
    </row>
    <row r="735" spans="9:14" x14ac:dyDescent="0.25">
      <c r="I735"/>
      <c r="J735"/>
      <c r="K735"/>
      <c r="L735"/>
      <c r="M735"/>
      <c r="N735"/>
    </row>
    <row r="736" spans="9:14" x14ac:dyDescent="0.25">
      <c r="I736"/>
      <c r="J736"/>
      <c r="K736"/>
      <c r="L736"/>
      <c r="M736"/>
      <c r="N736"/>
    </row>
    <row r="737" spans="9:14" x14ac:dyDescent="0.25">
      <c r="I737"/>
      <c r="J737"/>
      <c r="K737"/>
      <c r="L737"/>
      <c r="M737"/>
      <c r="N737"/>
    </row>
    <row r="738" spans="9:14" x14ac:dyDescent="0.25">
      <c r="I738"/>
      <c r="J738"/>
      <c r="K738"/>
      <c r="L738"/>
      <c r="M738"/>
      <c r="N738"/>
    </row>
    <row r="739" spans="9:14" x14ac:dyDescent="0.25">
      <c r="I739"/>
      <c r="J739"/>
      <c r="K739"/>
      <c r="L739"/>
      <c r="M739"/>
      <c r="N739"/>
    </row>
    <row r="740" spans="9:14" x14ac:dyDescent="0.25">
      <c r="I740"/>
      <c r="J740"/>
      <c r="K740"/>
      <c r="L740"/>
      <c r="M740"/>
      <c r="N740"/>
    </row>
    <row r="741" spans="9:14" x14ac:dyDescent="0.25">
      <c r="I741"/>
      <c r="J741"/>
      <c r="K741"/>
      <c r="L741"/>
      <c r="M741"/>
      <c r="N741"/>
    </row>
    <row r="742" spans="9:14" x14ac:dyDescent="0.25">
      <c r="I742"/>
      <c r="J742"/>
      <c r="K742"/>
      <c r="L742"/>
      <c r="M742"/>
      <c r="N742"/>
    </row>
    <row r="743" spans="9:14" x14ac:dyDescent="0.25">
      <c r="I743"/>
      <c r="J743"/>
      <c r="K743"/>
      <c r="L743"/>
      <c r="M743"/>
      <c r="N743"/>
    </row>
    <row r="744" spans="9:14" x14ac:dyDescent="0.25">
      <c r="I744"/>
      <c r="J744"/>
      <c r="K744"/>
      <c r="L744"/>
      <c r="M744"/>
      <c r="N744"/>
    </row>
    <row r="745" spans="9:14" x14ac:dyDescent="0.25">
      <c r="I745"/>
      <c r="J745"/>
      <c r="K745"/>
      <c r="L745"/>
      <c r="M745"/>
      <c r="N745"/>
    </row>
    <row r="746" spans="9:14" x14ac:dyDescent="0.25">
      <c r="I746"/>
      <c r="J746"/>
      <c r="K746"/>
      <c r="L746"/>
      <c r="M746"/>
      <c r="N746"/>
    </row>
    <row r="747" spans="9:14" x14ac:dyDescent="0.25">
      <c r="I747"/>
      <c r="J747"/>
      <c r="K747"/>
      <c r="L747"/>
      <c r="M747"/>
      <c r="N747"/>
    </row>
    <row r="748" spans="9:14" x14ac:dyDescent="0.25">
      <c r="I748"/>
      <c r="J748"/>
      <c r="K748"/>
      <c r="L748"/>
      <c r="M748"/>
      <c r="N748"/>
    </row>
    <row r="749" spans="9:14" x14ac:dyDescent="0.25">
      <c r="I749"/>
      <c r="J749"/>
      <c r="K749"/>
      <c r="L749"/>
      <c r="M749"/>
      <c r="N749"/>
    </row>
    <row r="750" spans="9:14" x14ac:dyDescent="0.25">
      <c r="I750"/>
      <c r="J750"/>
      <c r="K750"/>
      <c r="L750"/>
      <c r="M750"/>
      <c r="N750"/>
    </row>
    <row r="751" spans="9:14" x14ac:dyDescent="0.25">
      <c r="I751"/>
      <c r="J751"/>
      <c r="K751"/>
      <c r="L751"/>
      <c r="M751"/>
      <c r="N751"/>
    </row>
    <row r="752" spans="9:14" x14ac:dyDescent="0.25">
      <c r="I752"/>
      <c r="J752"/>
      <c r="K752"/>
      <c r="L752"/>
      <c r="M752"/>
      <c r="N752"/>
    </row>
    <row r="753" spans="9:14" x14ac:dyDescent="0.25">
      <c r="I753"/>
      <c r="J753"/>
      <c r="K753"/>
      <c r="L753"/>
      <c r="M753"/>
      <c r="N753"/>
    </row>
    <row r="754" spans="9:14" x14ac:dyDescent="0.25">
      <c r="I754"/>
      <c r="J754"/>
      <c r="K754"/>
      <c r="L754"/>
      <c r="M754"/>
      <c r="N754"/>
    </row>
    <row r="755" spans="9:14" x14ac:dyDescent="0.25">
      <c r="I755"/>
      <c r="J755"/>
      <c r="K755"/>
      <c r="L755"/>
      <c r="M755"/>
      <c r="N755"/>
    </row>
    <row r="756" spans="9:14" x14ac:dyDescent="0.25">
      <c r="I756"/>
      <c r="J756"/>
      <c r="K756"/>
      <c r="L756"/>
      <c r="M756"/>
      <c r="N756"/>
    </row>
    <row r="757" spans="9:14" x14ac:dyDescent="0.25">
      <c r="I757"/>
      <c r="J757"/>
      <c r="K757"/>
      <c r="L757"/>
      <c r="M757"/>
      <c r="N757"/>
    </row>
    <row r="758" spans="9:14" x14ac:dyDescent="0.25">
      <c r="I758"/>
      <c r="J758"/>
      <c r="K758"/>
      <c r="L758"/>
      <c r="M758"/>
      <c r="N758"/>
    </row>
    <row r="759" spans="9:14" x14ac:dyDescent="0.25">
      <c r="I759"/>
      <c r="J759"/>
      <c r="K759"/>
      <c r="L759"/>
      <c r="M759"/>
      <c r="N759"/>
    </row>
    <row r="760" spans="9:14" x14ac:dyDescent="0.25">
      <c r="I760"/>
      <c r="J760"/>
      <c r="K760"/>
      <c r="L760"/>
      <c r="M760"/>
      <c r="N760"/>
    </row>
    <row r="761" spans="9:14" x14ac:dyDescent="0.25">
      <c r="I761"/>
      <c r="J761"/>
      <c r="K761"/>
      <c r="L761"/>
      <c r="M761"/>
      <c r="N761"/>
    </row>
    <row r="762" spans="9:14" x14ac:dyDescent="0.25">
      <c r="I762"/>
      <c r="J762"/>
      <c r="K762"/>
      <c r="L762"/>
      <c r="M762"/>
      <c r="N762"/>
    </row>
    <row r="763" spans="9:14" x14ac:dyDescent="0.25">
      <c r="I763"/>
      <c r="J763"/>
      <c r="K763"/>
      <c r="L763"/>
      <c r="M763"/>
      <c r="N763"/>
    </row>
    <row r="764" spans="9:14" x14ac:dyDescent="0.25">
      <c r="I764"/>
      <c r="J764"/>
      <c r="K764"/>
      <c r="L764"/>
      <c r="M764"/>
      <c r="N764"/>
    </row>
    <row r="765" spans="9:14" x14ac:dyDescent="0.25">
      <c r="I765"/>
      <c r="J765"/>
      <c r="K765"/>
      <c r="L765"/>
      <c r="M765"/>
      <c r="N765"/>
    </row>
    <row r="766" spans="9:14" x14ac:dyDescent="0.25">
      <c r="I766"/>
      <c r="J766"/>
      <c r="K766"/>
      <c r="L766"/>
      <c r="M766"/>
      <c r="N766"/>
    </row>
    <row r="767" spans="9:14" x14ac:dyDescent="0.25">
      <c r="I767"/>
      <c r="J767"/>
      <c r="K767"/>
      <c r="L767"/>
      <c r="M767"/>
      <c r="N767"/>
    </row>
    <row r="768" spans="9:14" x14ac:dyDescent="0.25">
      <c r="I768"/>
      <c r="J768"/>
      <c r="K768"/>
      <c r="L768"/>
      <c r="M768"/>
      <c r="N768"/>
    </row>
    <row r="769" spans="9:14" x14ac:dyDescent="0.25">
      <c r="I769"/>
      <c r="J769"/>
      <c r="K769"/>
      <c r="L769"/>
      <c r="M769"/>
      <c r="N769"/>
    </row>
    <row r="770" spans="9:14" x14ac:dyDescent="0.25">
      <c r="I770"/>
      <c r="J770"/>
      <c r="K770"/>
      <c r="L770"/>
      <c r="M770"/>
      <c r="N770"/>
    </row>
    <row r="771" spans="9:14" x14ac:dyDescent="0.25">
      <c r="I771"/>
      <c r="J771"/>
      <c r="K771"/>
      <c r="L771"/>
      <c r="M771"/>
      <c r="N771"/>
    </row>
    <row r="772" spans="9:14" x14ac:dyDescent="0.25">
      <c r="I772"/>
      <c r="J772"/>
      <c r="K772"/>
      <c r="L772"/>
      <c r="M772"/>
      <c r="N772"/>
    </row>
    <row r="773" spans="9:14" x14ac:dyDescent="0.25">
      <c r="I773"/>
      <c r="J773"/>
      <c r="K773"/>
      <c r="L773"/>
      <c r="M773"/>
      <c r="N773"/>
    </row>
    <row r="774" spans="9:14" x14ac:dyDescent="0.25">
      <c r="I774"/>
      <c r="J774"/>
      <c r="K774"/>
      <c r="L774"/>
      <c r="M774"/>
      <c r="N774"/>
    </row>
    <row r="775" spans="9:14" x14ac:dyDescent="0.25">
      <c r="I775"/>
      <c r="J775"/>
      <c r="K775"/>
      <c r="L775"/>
      <c r="M775"/>
      <c r="N775"/>
    </row>
    <row r="776" spans="9:14" x14ac:dyDescent="0.25">
      <c r="I776"/>
      <c r="J776"/>
      <c r="K776"/>
      <c r="L776"/>
      <c r="M776"/>
      <c r="N776"/>
    </row>
    <row r="777" spans="9:14" x14ac:dyDescent="0.25">
      <c r="I777"/>
      <c r="J777"/>
      <c r="K777"/>
      <c r="L777"/>
      <c r="M777"/>
      <c r="N777"/>
    </row>
    <row r="778" spans="9:14" x14ac:dyDescent="0.25">
      <c r="I778"/>
      <c r="J778"/>
      <c r="K778"/>
      <c r="L778"/>
      <c r="M778"/>
      <c r="N778"/>
    </row>
    <row r="779" spans="9:14" x14ac:dyDescent="0.25">
      <c r="I779"/>
      <c r="J779"/>
      <c r="K779"/>
      <c r="L779"/>
      <c r="M779"/>
      <c r="N779"/>
    </row>
    <row r="780" spans="9:14" x14ac:dyDescent="0.25">
      <c r="I780"/>
      <c r="J780"/>
      <c r="K780"/>
      <c r="L780"/>
      <c r="M780"/>
      <c r="N780"/>
    </row>
    <row r="781" spans="9:14" x14ac:dyDescent="0.25">
      <c r="I781"/>
      <c r="J781"/>
      <c r="K781"/>
      <c r="L781"/>
      <c r="M781"/>
      <c r="N781"/>
    </row>
    <row r="782" spans="9:14" x14ac:dyDescent="0.25">
      <c r="I782"/>
      <c r="J782"/>
      <c r="K782"/>
      <c r="L782"/>
      <c r="M782"/>
      <c r="N782"/>
    </row>
    <row r="783" spans="9:14" x14ac:dyDescent="0.25">
      <c r="I783"/>
      <c r="J783"/>
      <c r="K783"/>
      <c r="L783"/>
      <c r="M783"/>
      <c r="N783"/>
    </row>
    <row r="784" spans="9:14" x14ac:dyDescent="0.25">
      <c r="I784"/>
      <c r="J784"/>
      <c r="K784"/>
      <c r="L784"/>
      <c r="M784"/>
      <c r="N784"/>
    </row>
    <row r="785" spans="9:14" x14ac:dyDescent="0.25">
      <c r="I785"/>
      <c r="J785"/>
      <c r="K785"/>
      <c r="L785"/>
      <c r="M785"/>
      <c r="N785"/>
    </row>
    <row r="786" spans="9:14" x14ac:dyDescent="0.25">
      <c r="I786"/>
      <c r="J786"/>
      <c r="K786"/>
      <c r="L786"/>
      <c r="M786"/>
      <c r="N786"/>
    </row>
    <row r="787" spans="9:14" x14ac:dyDescent="0.25">
      <c r="I787"/>
      <c r="J787"/>
      <c r="K787"/>
      <c r="L787"/>
      <c r="M787"/>
      <c r="N787"/>
    </row>
    <row r="788" spans="9:14" x14ac:dyDescent="0.25">
      <c r="I788"/>
      <c r="J788"/>
      <c r="K788"/>
      <c r="L788"/>
      <c r="M788"/>
      <c r="N788"/>
    </row>
    <row r="789" spans="9:14" x14ac:dyDescent="0.25">
      <c r="I789"/>
      <c r="J789"/>
      <c r="K789"/>
      <c r="L789"/>
      <c r="M789"/>
      <c r="N789"/>
    </row>
    <row r="790" spans="9:14" x14ac:dyDescent="0.25">
      <c r="I790"/>
      <c r="J790"/>
      <c r="K790"/>
      <c r="L790"/>
      <c r="M790"/>
      <c r="N790"/>
    </row>
    <row r="791" spans="9:14" x14ac:dyDescent="0.25">
      <c r="I791"/>
      <c r="J791"/>
      <c r="K791"/>
      <c r="L791"/>
      <c r="M791"/>
      <c r="N791"/>
    </row>
    <row r="792" spans="9:14" x14ac:dyDescent="0.25">
      <c r="I792"/>
      <c r="J792"/>
      <c r="K792"/>
      <c r="L792"/>
      <c r="M792"/>
      <c r="N792"/>
    </row>
    <row r="793" spans="9:14" x14ac:dyDescent="0.25">
      <c r="I793"/>
      <c r="J793"/>
      <c r="K793"/>
      <c r="L793"/>
      <c r="M793"/>
      <c r="N793"/>
    </row>
    <row r="794" spans="9:14" x14ac:dyDescent="0.25">
      <c r="I794"/>
      <c r="J794"/>
      <c r="K794"/>
      <c r="L794"/>
      <c r="M794"/>
      <c r="N794"/>
    </row>
    <row r="795" spans="9:14" x14ac:dyDescent="0.25">
      <c r="I795"/>
      <c r="J795"/>
      <c r="K795"/>
      <c r="L795"/>
      <c r="M795"/>
      <c r="N795"/>
    </row>
    <row r="796" spans="9:14" x14ac:dyDescent="0.25">
      <c r="I796"/>
      <c r="J796"/>
      <c r="K796"/>
      <c r="L796"/>
      <c r="M796"/>
      <c r="N796"/>
    </row>
    <row r="797" spans="9:14" x14ac:dyDescent="0.25">
      <c r="I797"/>
      <c r="J797"/>
      <c r="K797"/>
      <c r="L797"/>
      <c r="M797"/>
      <c r="N797"/>
    </row>
    <row r="798" spans="9:14" x14ac:dyDescent="0.25">
      <c r="I798"/>
      <c r="J798"/>
      <c r="K798"/>
      <c r="L798"/>
      <c r="M798"/>
      <c r="N798"/>
    </row>
    <row r="799" spans="9:14" x14ac:dyDescent="0.25">
      <c r="I799"/>
      <c r="J799"/>
      <c r="K799"/>
      <c r="L799"/>
      <c r="M799"/>
      <c r="N799"/>
    </row>
    <row r="800" spans="9:14" x14ac:dyDescent="0.25">
      <c r="I800"/>
      <c r="J800"/>
      <c r="K800"/>
      <c r="L800"/>
      <c r="M800"/>
      <c r="N800"/>
    </row>
    <row r="801" spans="9:14" x14ac:dyDescent="0.25">
      <c r="I801"/>
      <c r="J801"/>
      <c r="K801"/>
      <c r="L801"/>
      <c r="M801"/>
      <c r="N801"/>
    </row>
    <row r="802" spans="9:14" x14ac:dyDescent="0.25">
      <c r="I802"/>
      <c r="J802"/>
      <c r="K802"/>
      <c r="L802"/>
      <c r="M802"/>
      <c r="N802"/>
    </row>
    <row r="803" spans="9:14" x14ac:dyDescent="0.25">
      <c r="I803"/>
      <c r="J803"/>
      <c r="K803"/>
      <c r="L803"/>
      <c r="M803"/>
      <c r="N803"/>
    </row>
    <row r="804" spans="9:14" x14ac:dyDescent="0.25">
      <c r="I804"/>
      <c r="J804"/>
      <c r="K804"/>
      <c r="L804"/>
      <c r="M804"/>
      <c r="N804"/>
    </row>
    <row r="805" spans="9:14" x14ac:dyDescent="0.25">
      <c r="I805"/>
      <c r="J805"/>
      <c r="K805"/>
      <c r="L805"/>
      <c r="M805"/>
      <c r="N805"/>
    </row>
    <row r="806" spans="9:14" x14ac:dyDescent="0.25">
      <c r="I806"/>
      <c r="J806"/>
      <c r="K806"/>
      <c r="L806"/>
      <c r="M806"/>
      <c r="N806"/>
    </row>
    <row r="807" spans="9:14" x14ac:dyDescent="0.25">
      <c r="I807"/>
      <c r="J807"/>
      <c r="K807"/>
      <c r="L807"/>
      <c r="M807"/>
      <c r="N807"/>
    </row>
    <row r="808" spans="9:14" x14ac:dyDescent="0.25">
      <c r="I808"/>
      <c r="J808"/>
      <c r="K808"/>
      <c r="L808"/>
      <c r="M808"/>
      <c r="N808"/>
    </row>
    <row r="809" spans="9:14" x14ac:dyDescent="0.25">
      <c r="I809"/>
      <c r="J809"/>
      <c r="K809"/>
      <c r="L809"/>
      <c r="M809"/>
      <c r="N809"/>
    </row>
    <row r="810" spans="9:14" x14ac:dyDescent="0.25">
      <c r="I810"/>
      <c r="J810"/>
      <c r="K810"/>
      <c r="L810"/>
      <c r="M810"/>
      <c r="N810"/>
    </row>
    <row r="811" spans="9:14" x14ac:dyDescent="0.25">
      <c r="I811"/>
      <c r="J811"/>
      <c r="K811"/>
      <c r="L811"/>
      <c r="M811"/>
      <c r="N811"/>
    </row>
    <row r="812" spans="9:14" x14ac:dyDescent="0.25">
      <c r="I812"/>
      <c r="J812"/>
      <c r="K812"/>
      <c r="L812"/>
      <c r="M812"/>
      <c r="N812"/>
    </row>
    <row r="813" spans="9:14" x14ac:dyDescent="0.25">
      <c r="I813"/>
      <c r="J813"/>
      <c r="K813"/>
      <c r="L813"/>
      <c r="M813"/>
      <c r="N813"/>
    </row>
    <row r="814" spans="9:14" x14ac:dyDescent="0.25">
      <c r="I814"/>
      <c r="J814"/>
      <c r="K814"/>
      <c r="L814"/>
      <c r="M814"/>
      <c r="N814"/>
    </row>
    <row r="815" spans="9:14" x14ac:dyDescent="0.25">
      <c r="I815"/>
      <c r="J815"/>
      <c r="K815"/>
      <c r="L815"/>
      <c r="M815"/>
      <c r="N815"/>
    </row>
    <row r="816" spans="9:14" x14ac:dyDescent="0.25">
      <c r="I816"/>
      <c r="J816"/>
      <c r="K816"/>
      <c r="L816"/>
      <c r="M816"/>
      <c r="N816"/>
    </row>
    <row r="817" spans="9:14" x14ac:dyDescent="0.25">
      <c r="I817"/>
      <c r="J817"/>
      <c r="K817"/>
      <c r="L817"/>
      <c r="M817"/>
      <c r="N817"/>
    </row>
    <row r="818" spans="9:14" x14ac:dyDescent="0.25">
      <c r="I818"/>
      <c r="J818"/>
      <c r="K818"/>
      <c r="L818"/>
      <c r="M818"/>
      <c r="N818"/>
    </row>
    <row r="819" spans="9:14" x14ac:dyDescent="0.25">
      <c r="I819"/>
      <c r="J819"/>
      <c r="K819"/>
      <c r="L819"/>
      <c r="M819"/>
      <c r="N819"/>
    </row>
    <row r="820" spans="9:14" x14ac:dyDescent="0.25">
      <c r="I820"/>
      <c r="J820"/>
      <c r="K820"/>
      <c r="L820"/>
      <c r="M820"/>
      <c r="N820"/>
    </row>
    <row r="821" spans="9:14" x14ac:dyDescent="0.25">
      <c r="I821"/>
      <c r="J821"/>
      <c r="K821"/>
      <c r="L821"/>
      <c r="M821"/>
      <c r="N821"/>
    </row>
    <row r="822" spans="9:14" x14ac:dyDescent="0.25">
      <c r="I822"/>
      <c r="J822"/>
      <c r="K822"/>
      <c r="L822"/>
      <c r="M822"/>
      <c r="N822"/>
    </row>
    <row r="823" spans="9:14" x14ac:dyDescent="0.25">
      <c r="I823"/>
      <c r="J823"/>
      <c r="K823"/>
      <c r="L823"/>
      <c r="M823"/>
      <c r="N823"/>
    </row>
    <row r="824" spans="9:14" x14ac:dyDescent="0.25">
      <c r="I824"/>
      <c r="J824"/>
      <c r="K824"/>
      <c r="L824"/>
      <c r="M824"/>
      <c r="N824"/>
    </row>
    <row r="825" spans="9:14" x14ac:dyDescent="0.25">
      <c r="I825"/>
      <c r="J825"/>
      <c r="K825"/>
      <c r="L825"/>
      <c r="M825"/>
      <c r="N825"/>
    </row>
    <row r="826" spans="9:14" x14ac:dyDescent="0.25">
      <c r="I826"/>
      <c r="J826"/>
      <c r="K826"/>
      <c r="L826"/>
      <c r="M826"/>
      <c r="N826"/>
    </row>
    <row r="827" spans="9:14" x14ac:dyDescent="0.25">
      <c r="I827"/>
      <c r="J827"/>
      <c r="K827"/>
      <c r="L827"/>
      <c r="M827"/>
      <c r="N827"/>
    </row>
    <row r="828" spans="9:14" x14ac:dyDescent="0.25">
      <c r="I828"/>
      <c r="J828"/>
      <c r="K828"/>
      <c r="L828"/>
      <c r="M828"/>
      <c r="N828"/>
    </row>
    <row r="829" spans="9:14" x14ac:dyDescent="0.25">
      <c r="I829"/>
      <c r="J829"/>
      <c r="K829"/>
      <c r="L829"/>
      <c r="M829"/>
      <c r="N829"/>
    </row>
    <row r="830" spans="9:14" x14ac:dyDescent="0.25">
      <c r="I830"/>
      <c r="J830"/>
      <c r="K830"/>
      <c r="L830"/>
      <c r="M830"/>
      <c r="N830"/>
    </row>
    <row r="831" spans="9:14" x14ac:dyDescent="0.25">
      <c r="I831"/>
      <c r="J831"/>
      <c r="K831"/>
      <c r="L831"/>
      <c r="M831"/>
      <c r="N831"/>
    </row>
    <row r="832" spans="9:14" x14ac:dyDescent="0.25">
      <c r="I832"/>
      <c r="J832"/>
      <c r="K832"/>
      <c r="L832"/>
      <c r="M832"/>
      <c r="N832"/>
    </row>
    <row r="833" spans="9:14" x14ac:dyDescent="0.25">
      <c r="I833"/>
      <c r="J833"/>
      <c r="K833"/>
      <c r="L833"/>
      <c r="M833"/>
      <c r="N833"/>
    </row>
    <row r="834" spans="9:14" x14ac:dyDescent="0.25">
      <c r="I834"/>
      <c r="J834"/>
      <c r="K834"/>
      <c r="L834"/>
      <c r="M834"/>
      <c r="N834"/>
    </row>
    <row r="835" spans="9:14" x14ac:dyDescent="0.25">
      <c r="I835"/>
      <c r="J835"/>
      <c r="K835"/>
      <c r="L835"/>
      <c r="M835"/>
      <c r="N835"/>
    </row>
    <row r="836" spans="9:14" x14ac:dyDescent="0.25">
      <c r="I836"/>
      <c r="J836"/>
      <c r="K836"/>
      <c r="L836"/>
      <c r="M836"/>
      <c r="N836"/>
    </row>
    <row r="837" spans="9:14" x14ac:dyDescent="0.25">
      <c r="I837"/>
      <c r="J837"/>
      <c r="K837"/>
      <c r="L837"/>
      <c r="M837"/>
      <c r="N837"/>
    </row>
    <row r="838" spans="9:14" x14ac:dyDescent="0.25">
      <c r="I838"/>
      <c r="J838"/>
      <c r="K838"/>
      <c r="L838"/>
      <c r="M838"/>
      <c r="N838"/>
    </row>
    <row r="839" spans="9:14" x14ac:dyDescent="0.25">
      <c r="I839"/>
      <c r="J839"/>
      <c r="K839"/>
      <c r="L839"/>
      <c r="M839"/>
      <c r="N839"/>
    </row>
    <row r="840" spans="9:14" x14ac:dyDescent="0.25">
      <c r="I840"/>
      <c r="J840"/>
      <c r="K840"/>
      <c r="L840"/>
      <c r="M840"/>
      <c r="N840"/>
    </row>
    <row r="841" spans="9:14" x14ac:dyDescent="0.25">
      <c r="I841"/>
      <c r="J841"/>
      <c r="K841"/>
      <c r="L841"/>
      <c r="M841"/>
      <c r="N841"/>
    </row>
    <row r="842" spans="9:14" x14ac:dyDescent="0.25">
      <c r="I842"/>
      <c r="J842"/>
      <c r="K842"/>
      <c r="L842"/>
      <c r="M842"/>
      <c r="N842"/>
    </row>
    <row r="843" spans="9:14" x14ac:dyDescent="0.25">
      <c r="I843"/>
      <c r="J843"/>
      <c r="K843"/>
      <c r="L843"/>
      <c r="M843"/>
      <c r="N843"/>
    </row>
    <row r="844" spans="9:14" x14ac:dyDescent="0.25">
      <c r="I844"/>
      <c r="J844"/>
      <c r="K844"/>
      <c r="L844"/>
      <c r="M844"/>
      <c r="N844"/>
    </row>
    <row r="845" spans="9:14" x14ac:dyDescent="0.25">
      <c r="I845"/>
      <c r="J845"/>
      <c r="K845"/>
      <c r="L845"/>
      <c r="M845"/>
      <c r="N845"/>
    </row>
    <row r="846" spans="9:14" x14ac:dyDescent="0.25">
      <c r="I846"/>
      <c r="J846"/>
      <c r="K846"/>
      <c r="L846"/>
      <c r="M846"/>
      <c r="N846"/>
    </row>
    <row r="847" spans="9:14" x14ac:dyDescent="0.25">
      <c r="I847"/>
      <c r="J847"/>
      <c r="K847"/>
      <c r="L847"/>
      <c r="M847"/>
      <c r="N847"/>
    </row>
    <row r="848" spans="9:14" x14ac:dyDescent="0.25">
      <c r="I848"/>
      <c r="J848"/>
      <c r="K848"/>
      <c r="L848"/>
      <c r="M848"/>
      <c r="N848"/>
    </row>
    <row r="849" spans="9:14" x14ac:dyDescent="0.25">
      <c r="I849"/>
      <c r="J849"/>
      <c r="K849"/>
      <c r="L849"/>
      <c r="M849"/>
      <c r="N849"/>
    </row>
    <row r="850" spans="9:14" x14ac:dyDescent="0.25">
      <c r="I850"/>
      <c r="J850"/>
      <c r="K850"/>
      <c r="L850"/>
      <c r="M850"/>
      <c r="N850"/>
    </row>
    <row r="851" spans="9:14" x14ac:dyDescent="0.25">
      <c r="I851"/>
      <c r="J851"/>
      <c r="K851"/>
      <c r="L851"/>
      <c r="M851"/>
      <c r="N851"/>
    </row>
    <row r="852" spans="9:14" x14ac:dyDescent="0.25">
      <c r="I852"/>
      <c r="J852"/>
      <c r="K852"/>
      <c r="L852"/>
      <c r="M852"/>
      <c r="N852"/>
    </row>
    <row r="853" spans="9:14" x14ac:dyDescent="0.25">
      <c r="I853"/>
      <c r="J853"/>
      <c r="K853"/>
      <c r="L853"/>
      <c r="M853"/>
      <c r="N853"/>
    </row>
    <row r="854" spans="9:14" x14ac:dyDescent="0.25">
      <c r="I854"/>
      <c r="J854"/>
      <c r="K854"/>
      <c r="L854"/>
      <c r="M854"/>
      <c r="N854"/>
    </row>
    <row r="855" spans="9:14" x14ac:dyDescent="0.25">
      <c r="I855"/>
      <c r="J855"/>
      <c r="K855"/>
      <c r="L855"/>
      <c r="M855"/>
      <c r="N855"/>
    </row>
    <row r="856" spans="9:14" x14ac:dyDescent="0.25">
      <c r="I856"/>
      <c r="J856"/>
      <c r="K856"/>
      <c r="L856"/>
      <c r="M856"/>
      <c r="N856"/>
    </row>
    <row r="857" spans="9:14" x14ac:dyDescent="0.25">
      <c r="I857"/>
      <c r="J857"/>
      <c r="K857"/>
      <c r="L857"/>
      <c r="M857"/>
      <c r="N857"/>
    </row>
    <row r="858" spans="9:14" x14ac:dyDescent="0.25">
      <c r="I858"/>
      <c r="J858"/>
      <c r="K858"/>
      <c r="L858"/>
      <c r="M858"/>
      <c r="N858"/>
    </row>
    <row r="859" spans="9:14" x14ac:dyDescent="0.25">
      <c r="I859"/>
      <c r="J859"/>
      <c r="K859"/>
      <c r="L859"/>
      <c r="M859"/>
      <c r="N859"/>
    </row>
    <row r="860" spans="9:14" x14ac:dyDescent="0.25">
      <c r="I860"/>
      <c r="J860"/>
      <c r="K860"/>
      <c r="L860"/>
      <c r="M860"/>
      <c r="N860"/>
    </row>
    <row r="861" spans="9:14" x14ac:dyDescent="0.25">
      <c r="I861"/>
      <c r="J861"/>
      <c r="K861"/>
      <c r="L861"/>
      <c r="M861"/>
      <c r="N861"/>
    </row>
    <row r="862" spans="9:14" x14ac:dyDescent="0.25">
      <c r="I862"/>
      <c r="J862"/>
      <c r="K862"/>
      <c r="L862"/>
      <c r="M862"/>
      <c r="N862"/>
    </row>
    <row r="863" spans="9:14" x14ac:dyDescent="0.25">
      <c r="I863"/>
      <c r="J863"/>
      <c r="K863"/>
      <c r="L863"/>
      <c r="M863"/>
      <c r="N863"/>
    </row>
    <row r="864" spans="9:14" x14ac:dyDescent="0.25">
      <c r="I864"/>
      <c r="J864"/>
      <c r="K864"/>
      <c r="L864"/>
      <c r="M864"/>
      <c r="N864"/>
    </row>
    <row r="865" spans="9:14" x14ac:dyDescent="0.25">
      <c r="I865"/>
      <c r="J865"/>
      <c r="K865"/>
      <c r="L865"/>
      <c r="M865"/>
      <c r="N865"/>
    </row>
    <row r="866" spans="9:14" x14ac:dyDescent="0.25">
      <c r="I866"/>
      <c r="J866"/>
      <c r="K866"/>
      <c r="L866"/>
      <c r="M866"/>
      <c r="N866"/>
    </row>
    <row r="867" spans="9:14" x14ac:dyDescent="0.25">
      <c r="I867"/>
      <c r="J867"/>
      <c r="K867"/>
      <c r="L867"/>
      <c r="M867"/>
      <c r="N867"/>
    </row>
    <row r="868" spans="9:14" x14ac:dyDescent="0.25">
      <c r="I868"/>
      <c r="J868"/>
      <c r="K868"/>
      <c r="L868"/>
      <c r="M868"/>
      <c r="N868"/>
    </row>
    <row r="869" spans="9:14" x14ac:dyDescent="0.25">
      <c r="I869"/>
      <c r="J869"/>
      <c r="K869"/>
      <c r="L869"/>
      <c r="M869"/>
      <c r="N869"/>
    </row>
    <row r="870" spans="9:14" x14ac:dyDescent="0.25">
      <c r="I870"/>
      <c r="J870"/>
      <c r="K870"/>
      <c r="L870"/>
      <c r="M870"/>
      <c r="N870"/>
    </row>
    <row r="871" spans="9:14" x14ac:dyDescent="0.25">
      <c r="I871"/>
      <c r="J871"/>
      <c r="K871"/>
      <c r="L871"/>
      <c r="M871"/>
      <c r="N871"/>
    </row>
    <row r="872" spans="9:14" x14ac:dyDescent="0.25">
      <c r="I872"/>
      <c r="J872"/>
      <c r="K872"/>
      <c r="L872"/>
      <c r="M872"/>
      <c r="N872"/>
    </row>
    <row r="873" spans="9:14" x14ac:dyDescent="0.25">
      <c r="I873"/>
      <c r="J873"/>
      <c r="K873"/>
      <c r="L873"/>
      <c r="M873"/>
      <c r="N873"/>
    </row>
    <row r="874" spans="9:14" x14ac:dyDescent="0.25">
      <c r="I874"/>
      <c r="J874"/>
      <c r="K874"/>
      <c r="L874"/>
      <c r="M874"/>
      <c r="N874"/>
    </row>
    <row r="875" spans="9:14" x14ac:dyDescent="0.25">
      <c r="I875"/>
      <c r="J875"/>
      <c r="K875"/>
      <c r="L875"/>
      <c r="M875"/>
      <c r="N875"/>
    </row>
    <row r="876" spans="9:14" x14ac:dyDescent="0.25">
      <c r="I876"/>
      <c r="J876"/>
      <c r="K876"/>
      <c r="L876"/>
      <c r="M876"/>
      <c r="N876"/>
    </row>
    <row r="877" spans="9:14" x14ac:dyDescent="0.25">
      <c r="I877"/>
      <c r="J877"/>
      <c r="K877"/>
      <c r="L877"/>
      <c r="M877"/>
      <c r="N877"/>
    </row>
    <row r="878" spans="9:14" x14ac:dyDescent="0.25">
      <c r="I878"/>
      <c r="J878"/>
      <c r="K878"/>
      <c r="L878"/>
      <c r="M878"/>
      <c r="N878"/>
    </row>
    <row r="879" spans="9:14" x14ac:dyDescent="0.25">
      <c r="I879"/>
      <c r="J879"/>
      <c r="K879"/>
      <c r="L879"/>
      <c r="M879"/>
      <c r="N879"/>
    </row>
    <row r="880" spans="9:14" x14ac:dyDescent="0.25">
      <c r="I880"/>
      <c r="J880"/>
      <c r="K880"/>
      <c r="L880"/>
      <c r="M880"/>
      <c r="N880"/>
    </row>
    <row r="881" spans="9:14" x14ac:dyDescent="0.25">
      <c r="I881"/>
      <c r="J881"/>
      <c r="K881"/>
      <c r="L881"/>
      <c r="M881"/>
      <c r="N881"/>
    </row>
    <row r="882" spans="9:14" x14ac:dyDescent="0.25">
      <c r="I882"/>
      <c r="J882"/>
      <c r="K882"/>
      <c r="L882"/>
      <c r="M882"/>
      <c r="N882"/>
    </row>
    <row r="883" spans="9:14" x14ac:dyDescent="0.25">
      <c r="I883"/>
      <c r="J883"/>
      <c r="K883"/>
      <c r="L883"/>
      <c r="M883"/>
      <c r="N883"/>
    </row>
    <row r="884" spans="9:14" x14ac:dyDescent="0.25">
      <c r="I884"/>
      <c r="J884"/>
      <c r="K884"/>
      <c r="L884"/>
      <c r="M884"/>
      <c r="N884"/>
    </row>
    <row r="885" spans="9:14" x14ac:dyDescent="0.25">
      <c r="I885"/>
      <c r="J885"/>
      <c r="K885"/>
      <c r="L885"/>
      <c r="M885"/>
      <c r="N885"/>
    </row>
    <row r="886" spans="9:14" x14ac:dyDescent="0.25">
      <c r="I886"/>
      <c r="J886"/>
      <c r="K886"/>
      <c r="L886"/>
      <c r="M886"/>
      <c r="N886"/>
    </row>
    <row r="887" spans="9:14" x14ac:dyDescent="0.25">
      <c r="I887"/>
      <c r="J887"/>
      <c r="K887"/>
      <c r="L887"/>
      <c r="M887"/>
      <c r="N887"/>
    </row>
    <row r="888" spans="9:14" x14ac:dyDescent="0.25">
      <c r="I888"/>
      <c r="J888"/>
      <c r="K888"/>
      <c r="L888"/>
      <c r="M888"/>
      <c r="N888"/>
    </row>
    <row r="889" spans="9:14" x14ac:dyDescent="0.25">
      <c r="I889"/>
      <c r="J889"/>
      <c r="K889"/>
      <c r="L889"/>
      <c r="M889"/>
      <c r="N889"/>
    </row>
    <row r="890" spans="9:14" x14ac:dyDescent="0.25">
      <c r="I890"/>
      <c r="J890"/>
      <c r="K890"/>
      <c r="L890"/>
      <c r="M890"/>
      <c r="N890"/>
    </row>
    <row r="891" spans="9:14" x14ac:dyDescent="0.25">
      <c r="I891"/>
      <c r="J891"/>
      <c r="K891"/>
      <c r="L891"/>
      <c r="M891"/>
      <c r="N891"/>
    </row>
    <row r="892" spans="9:14" x14ac:dyDescent="0.25">
      <c r="I892"/>
      <c r="J892"/>
      <c r="K892"/>
      <c r="L892"/>
      <c r="M892"/>
      <c r="N892"/>
    </row>
    <row r="893" spans="9:14" x14ac:dyDescent="0.25">
      <c r="I893"/>
      <c r="J893"/>
      <c r="K893"/>
      <c r="L893"/>
      <c r="M893"/>
      <c r="N893"/>
    </row>
    <row r="894" spans="9:14" x14ac:dyDescent="0.25">
      <c r="I894"/>
      <c r="J894"/>
      <c r="K894"/>
      <c r="L894"/>
      <c r="M894"/>
      <c r="N894"/>
    </row>
    <row r="895" spans="9:14" x14ac:dyDescent="0.25">
      <c r="I895"/>
      <c r="J895"/>
      <c r="K895"/>
      <c r="L895"/>
      <c r="M895"/>
      <c r="N895"/>
    </row>
    <row r="896" spans="9:14" x14ac:dyDescent="0.25">
      <c r="I896"/>
      <c r="J896"/>
      <c r="K896"/>
      <c r="L896"/>
      <c r="M896"/>
      <c r="N896"/>
    </row>
    <row r="897" spans="9:14" x14ac:dyDescent="0.25">
      <c r="I897"/>
      <c r="J897"/>
      <c r="K897"/>
      <c r="L897"/>
      <c r="M897"/>
      <c r="N897"/>
    </row>
    <row r="898" spans="9:14" x14ac:dyDescent="0.25">
      <c r="I898"/>
      <c r="J898"/>
      <c r="K898"/>
      <c r="L898"/>
      <c r="M898"/>
      <c r="N898"/>
    </row>
    <row r="899" spans="9:14" x14ac:dyDescent="0.25">
      <c r="I899"/>
      <c r="J899"/>
      <c r="K899"/>
      <c r="L899"/>
      <c r="M899"/>
      <c r="N899"/>
    </row>
    <row r="900" spans="9:14" x14ac:dyDescent="0.25">
      <c r="I900"/>
      <c r="J900"/>
      <c r="K900"/>
      <c r="L900"/>
      <c r="M900"/>
      <c r="N900"/>
    </row>
    <row r="901" spans="9:14" x14ac:dyDescent="0.25">
      <c r="I901"/>
      <c r="J901"/>
      <c r="K901"/>
      <c r="L901"/>
      <c r="M901"/>
      <c r="N901"/>
    </row>
    <row r="902" spans="9:14" x14ac:dyDescent="0.25">
      <c r="I902"/>
      <c r="J902"/>
      <c r="K902"/>
      <c r="L902"/>
      <c r="M902"/>
      <c r="N902"/>
    </row>
    <row r="903" spans="9:14" x14ac:dyDescent="0.25">
      <c r="I903"/>
      <c r="J903"/>
      <c r="K903"/>
      <c r="L903"/>
      <c r="M903"/>
      <c r="N903"/>
    </row>
    <row r="904" spans="9:14" x14ac:dyDescent="0.25">
      <c r="I904"/>
      <c r="J904"/>
      <c r="K904"/>
      <c r="L904"/>
      <c r="M904"/>
      <c r="N904"/>
    </row>
    <row r="905" spans="9:14" x14ac:dyDescent="0.25">
      <c r="I905"/>
      <c r="J905"/>
      <c r="K905"/>
      <c r="L905"/>
      <c r="M905"/>
      <c r="N905"/>
    </row>
    <row r="906" spans="9:14" x14ac:dyDescent="0.25">
      <c r="I906"/>
      <c r="J906"/>
      <c r="K906"/>
      <c r="L906"/>
      <c r="M906"/>
      <c r="N906"/>
    </row>
    <row r="907" spans="9:14" x14ac:dyDescent="0.25">
      <c r="I907"/>
      <c r="J907"/>
      <c r="K907"/>
      <c r="L907"/>
      <c r="M907"/>
      <c r="N907"/>
    </row>
    <row r="908" spans="9:14" x14ac:dyDescent="0.25">
      <c r="I908"/>
      <c r="J908"/>
      <c r="K908"/>
      <c r="L908"/>
      <c r="M908"/>
      <c r="N908"/>
    </row>
    <row r="909" spans="9:14" x14ac:dyDescent="0.25">
      <c r="I909"/>
      <c r="J909"/>
      <c r="K909"/>
      <c r="L909"/>
      <c r="M909"/>
      <c r="N909"/>
    </row>
    <row r="910" spans="9:14" x14ac:dyDescent="0.25">
      <c r="I910"/>
      <c r="J910"/>
      <c r="K910"/>
      <c r="L910"/>
      <c r="M910"/>
      <c r="N910"/>
    </row>
    <row r="911" spans="9:14" x14ac:dyDescent="0.25">
      <c r="I911"/>
      <c r="J911"/>
      <c r="K911"/>
      <c r="L911"/>
      <c r="M911"/>
      <c r="N911"/>
    </row>
    <row r="912" spans="9:14" x14ac:dyDescent="0.25">
      <c r="I912"/>
      <c r="J912"/>
      <c r="K912"/>
      <c r="L912"/>
      <c r="M912"/>
      <c r="N912"/>
    </row>
    <row r="913" spans="9:14" x14ac:dyDescent="0.25">
      <c r="I913"/>
      <c r="J913"/>
      <c r="K913"/>
      <c r="L913"/>
      <c r="M913"/>
      <c r="N913"/>
    </row>
    <row r="914" spans="9:14" x14ac:dyDescent="0.25">
      <c r="I914"/>
      <c r="J914"/>
      <c r="K914"/>
      <c r="L914"/>
      <c r="M914"/>
      <c r="N914"/>
    </row>
    <row r="915" spans="9:14" x14ac:dyDescent="0.25">
      <c r="I915"/>
      <c r="J915"/>
      <c r="K915"/>
      <c r="L915"/>
      <c r="M915"/>
      <c r="N915"/>
    </row>
    <row r="916" spans="9:14" x14ac:dyDescent="0.25">
      <c r="I916"/>
      <c r="J916"/>
      <c r="K916"/>
      <c r="L916"/>
      <c r="M916"/>
      <c r="N916"/>
    </row>
    <row r="917" spans="9:14" x14ac:dyDescent="0.25">
      <c r="I917"/>
      <c r="J917"/>
      <c r="K917"/>
      <c r="L917"/>
      <c r="M917"/>
      <c r="N917"/>
    </row>
    <row r="918" spans="9:14" x14ac:dyDescent="0.25">
      <c r="I918"/>
      <c r="J918"/>
      <c r="K918"/>
      <c r="L918"/>
      <c r="M918"/>
      <c r="N918"/>
    </row>
    <row r="919" spans="9:14" x14ac:dyDescent="0.25">
      <c r="I919"/>
      <c r="J919"/>
      <c r="K919"/>
      <c r="L919"/>
      <c r="M919"/>
      <c r="N919"/>
    </row>
    <row r="920" spans="9:14" x14ac:dyDescent="0.25">
      <c r="I920"/>
      <c r="J920"/>
      <c r="K920"/>
      <c r="L920"/>
      <c r="M920"/>
      <c r="N920"/>
    </row>
    <row r="921" spans="9:14" x14ac:dyDescent="0.25">
      <c r="I921"/>
      <c r="J921"/>
      <c r="K921"/>
      <c r="L921"/>
      <c r="M921"/>
      <c r="N921"/>
    </row>
    <row r="922" spans="9:14" x14ac:dyDescent="0.25">
      <c r="I922"/>
      <c r="J922"/>
      <c r="K922"/>
      <c r="L922"/>
      <c r="M922"/>
      <c r="N922"/>
    </row>
    <row r="923" spans="9:14" x14ac:dyDescent="0.25">
      <c r="I923"/>
      <c r="J923"/>
      <c r="K923"/>
      <c r="L923"/>
      <c r="M923"/>
      <c r="N923"/>
    </row>
    <row r="924" spans="9:14" x14ac:dyDescent="0.25">
      <c r="I924"/>
      <c r="J924"/>
      <c r="K924"/>
      <c r="L924"/>
      <c r="M924"/>
      <c r="N924"/>
    </row>
    <row r="925" spans="9:14" x14ac:dyDescent="0.25">
      <c r="I925"/>
      <c r="J925"/>
      <c r="K925"/>
      <c r="L925"/>
      <c r="M925"/>
      <c r="N925"/>
    </row>
    <row r="926" spans="9:14" x14ac:dyDescent="0.25">
      <c r="I926"/>
      <c r="J926"/>
      <c r="K926"/>
      <c r="L926"/>
      <c r="M926"/>
      <c r="N926"/>
    </row>
    <row r="927" spans="9:14" x14ac:dyDescent="0.25">
      <c r="I927"/>
      <c r="J927"/>
      <c r="K927"/>
      <c r="L927"/>
      <c r="M927"/>
      <c r="N927"/>
    </row>
    <row r="928" spans="9:14" x14ac:dyDescent="0.25">
      <c r="I928"/>
      <c r="J928"/>
      <c r="K928"/>
      <c r="L928"/>
      <c r="M928"/>
      <c r="N928"/>
    </row>
    <row r="929" spans="9:14" x14ac:dyDescent="0.25">
      <c r="I929"/>
      <c r="J929"/>
      <c r="K929"/>
      <c r="L929"/>
      <c r="M929"/>
      <c r="N929"/>
    </row>
    <row r="930" spans="9:14" x14ac:dyDescent="0.25">
      <c r="I930"/>
      <c r="J930"/>
      <c r="K930"/>
      <c r="L930"/>
      <c r="M930"/>
      <c r="N930"/>
    </row>
    <row r="931" spans="9:14" x14ac:dyDescent="0.25">
      <c r="I931"/>
      <c r="J931"/>
      <c r="K931"/>
      <c r="L931"/>
      <c r="M931"/>
      <c r="N931"/>
    </row>
    <row r="932" spans="9:14" x14ac:dyDescent="0.25">
      <c r="I932"/>
      <c r="J932"/>
      <c r="K932"/>
      <c r="L932"/>
      <c r="M932"/>
      <c r="N932"/>
    </row>
    <row r="933" spans="9:14" x14ac:dyDescent="0.25">
      <c r="I933"/>
      <c r="J933"/>
      <c r="K933"/>
      <c r="L933"/>
      <c r="M933"/>
      <c r="N933"/>
    </row>
    <row r="934" spans="9:14" x14ac:dyDescent="0.25">
      <c r="I934"/>
      <c r="J934"/>
      <c r="K934"/>
      <c r="L934"/>
      <c r="M934"/>
      <c r="N934"/>
    </row>
    <row r="935" spans="9:14" x14ac:dyDescent="0.25">
      <c r="I935"/>
      <c r="J935"/>
      <c r="K935"/>
      <c r="L935"/>
      <c r="M935"/>
      <c r="N935"/>
    </row>
    <row r="936" spans="9:14" x14ac:dyDescent="0.25">
      <c r="I936"/>
      <c r="J936"/>
      <c r="K936"/>
      <c r="L936"/>
      <c r="M936"/>
      <c r="N936"/>
    </row>
    <row r="937" spans="9:14" x14ac:dyDescent="0.25">
      <c r="I937"/>
      <c r="J937"/>
      <c r="K937"/>
      <c r="L937"/>
      <c r="M937"/>
      <c r="N937"/>
    </row>
    <row r="938" spans="9:14" x14ac:dyDescent="0.25">
      <c r="I938"/>
      <c r="J938"/>
      <c r="K938"/>
      <c r="L938"/>
      <c r="M938"/>
      <c r="N938"/>
    </row>
    <row r="939" spans="9:14" x14ac:dyDescent="0.25">
      <c r="I939"/>
      <c r="J939"/>
      <c r="K939"/>
      <c r="L939"/>
      <c r="M939"/>
      <c r="N939"/>
    </row>
    <row r="940" spans="9:14" x14ac:dyDescent="0.25">
      <c r="I940"/>
      <c r="J940"/>
      <c r="K940"/>
      <c r="L940"/>
      <c r="M940"/>
      <c r="N940"/>
    </row>
    <row r="941" spans="9:14" x14ac:dyDescent="0.25">
      <c r="I941"/>
      <c r="J941"/>
      <c r="K941"/>
      <c r="L941"/>
      <c r="M941"/>
      <c r="N941"/>
    </row>
    <row r="942" spans="9:14" x14ac:dyDescent="0.25">
      <c r="I942"/>
      <c r="J942"/>
      <c r="K942"/>
      <c r="L942"/>
      <c r="M942"/>
      <c r="N942"/>
    </row>
    <row r="943" spans="9:14" x14ac:dyDescent="0.25">
      <c r="I943"/>
      <c r="J943"/>
      <c r="K943"/>
      <c r="L943"/>
      <c r="M943"/>
      <c r="N943"/>
    </row>
    <row r="944" spans="9:14" x14ac:dyDescent="0.25">
      <c r="I944"/>
      <c r="J944"/>
      <c r="K944"/>
      <c r="L944"/>
      <c r="M944"/>
      <c r="N944"/>
    </row>
    <row r="945" spans="9:14" x14ac:dyDescent="0.25">
      <c r="I945"/>
      <c r="J945"/>
      <c r="K945"/>
      <c r="L945"/>
      <c r="M945"/>
      <c r="N945"/>
    </row>
    <row r="946" spans="9:14" x14ac:dyDescent="0.25">
      <c r="I946"/>
      <c r="J946"/>
      <c r="K946"/>
      <c r="L946"/>
      <c r="M946"/>
      <c r="N946"/>
    </row>
    <row r="947" spans="9:14" x14ac:dyDescent="0.25">
      <c r="I947"/>
      <c r="J947"/>
      <c r="K947"/>
      <c r="L947"/>
      <c r="M947"/>
      <c r="N947"/>
    </row>
    <row r="948" spans="9:14" x14ac:dyDescent="0.25">
      <c r="I948"/>
      <c r="J948"/>
      <c r="K948"/>
      <c r="L948"/>
      <c r="M948"/>
      <c r="N948"/>
    </row>
    <row r="949" spans="9:14" x14ac:dyDescent="0.25">
      <c r="I949"/>
      <c r="J949"/>
      <c r="K949"/>
      <c r="L949"/>
      <c r="M949"/>
      <c r="N949"/>
    </row>
    <row r="950" spans="9:14" x14ac:dyDescent="0.25">
      <c r="I950"/>
      <c r="J950"/>
      <c r="K950"/>
      <c r="L950"/>
      <c r="M950"/>
      <c r="N950"/>
    </row>
    <row r="951" spans="9:14" x14ac:dyDescent="0.25">
      <c r="I951"/>
      <c r="J951"/>
      <c r="K951"/>
      <c r="L951"/>
      <c r="M951"/>
      <c r="N951"/>
    </row>
    <row r="952" spans="9:14" x14ac:dyDescent="0.25">
      <c r="I952"/>
      <c r="J952"/>
      <c r="K952"/>
      <c r="L952"/>
      <c r="M952"/>
      <c r="N952"/>
    </row>
    <row r="953" spans="9:14" x14ac:dyDescent="0.25">
      <c r="I953"/>
      <c r="J953"/>
      <c r="K953"/>
      <c r="L953"/>
      <c r="M953"/>
      <c r="N953"/>
    </row>
    <row r="954" spans="9:14" x14ac:dyDescent="0.25">
      <c r="I954"/>
      <c r="J954"/>
      <c r="K954"/>
      <c r="L954"/>
      <c r="M954"/>
      <c r="N954"/>
    </row>
    <row r="955" spans="9:14" x14ac:dyDescent="0.25">
      <c r="I955"/>
      <c r="J955"/>
      <c r="K955"/>
      <c r="L955"/>
      <c r="M955"/>
      <c r="N955"/>
    </row>
    <row r="956" spans="9:14" x14ac:dyDescent="0.25">
      <c r="I956"/>
      <c r="J956"/>
      <c r="K956"/>
      <c r="L956"/>
      <c r="M956"/>
      <c r="N956"/>
    </row>
    <row r="957" spans="9:14" x14ac:dyDescent="0.25">
      <c r="I957"/>
      <c r="J957"/>
      <c r="K957"/>
      <c r="L957"/>
      <c r="M957"/>
      <c r="N957"/>
    </row>
    <row r="958" spans="9:14" x14ac:dyDescent="0.25">
      <c r="I958"/>
      <c r="J958"/>
      <c r="K958"/>
      <c r="L958"/>
      <c r="M958"/>
      <c r="N958"/>
    </row>
    <row r="959" spans="9:14" x14ac:dyDescent="0.25">
      <c r="I959"/>
      <c r="J959"/>
      <c r="K959"/>
      <c r="L959"/>
      <c r="M959"/>
      <c r="N959"/>
    </row>
    <row r="960" spans="9:14" x14ac:dyDescent="0.25">
      <c r="I960"/>
      <c r="J960"/>
      <c r="K960"/>
      <c r="L960"/>
      <c r="M960"/>
      <c r="N960"/>
    </row>
    <row r="961" spans="9:14" x14ac:dyDescent="0.25">
      <c r="I961"/>
      <c r="J961"/>
      <c r="K961"/>
      <c r="L961"/>
      <c r="M961"/>
      <c r="N961"/>
    </row>
    <row r="962" spans="9:14" x14ac:dyDescent="0.25">
      <c r="I962"/>
      <c r="J962"/>
      <c r="K962"/>
      <c r="L962"/>
      <c r="M962"/>
      <c r="N962"/>
    </row>
    <row r="963" spans="9:14" x14ac:dyDescent="0.25">
      <c r="I963"/>
      <c r="J963"/>
      <c r="K963"/>
      <c r="L963"/>
      <c r="M963"/>
      <c r="N963"/>
    </row>
    <row r="964" spans="9:14" x14ac:dyDescent="0.25">
      <c r="I964"/>
      <c r="J964"/>
      <c r="K964"/>
      <c r="L964"/>
      <c r="M964"/>
      <c r="N964"/>
    </row>
    <row r="965" spans="9:14" x14ac:dyDescent="0.25">
      <c r="I965"/>
      <c r="J965"/>
      <c r="K965"/>
      <c r="L965"/>
      <c r="M965"/>
      <c r="N965"/>
    </row>
    <row r="966" spans="9:14" x14ac:dyDescent="0.25">
      <c r="I966"/>
      <c r="J966"/>
      <c r="K966"/>
      <c r="L966"/>
      <c r="M966"/>
      <c r="N966"/>
    </row>
    <row r="967" spans="9:14" x14ac:dyDescent="0.25">
      <c r="I967"/>
      <c r="J967"/>
      <c r="K967"/>
      <c r="L967"/>
      <c r="M967"/>
      <c r="N967"/>
    </row>
    <row r="968" spans="9:14" x14ac:dyDescent="0.25">
      <c r="I968"/>
      <c r="J968"/>
      <c r="K968"/>
      <c r="L968"/>
      <c r="M968"/>
      <c r="N968"/>
    </row>
    <row r="969" spans="9:14" x14ac:dyDescent="0.25">
      <c r="I969"/>
      <c r="J969"/>
      <c r="K969"/>
      <c r="L969"/>
      <c r="M969"/>
      <c r="N969"/>
    </row>
    <row r="970" spans="9:14" x14ac:dyDescent="0.25">
      <c r="I970"/>
      <c r="J970"/>
      <c r="K970"/>
      <c r="L970"/>
      <c r="M970"/>
      <c r="N970"/>
    </row>
    <row r="971" spans="9:14" x14ac:dyDescent="0.25">
      <c r="I971"/>
      <c r="J971"/>
      <c r="K971"/>
      <c r="L971"/>
      <c r="M971"/>
      <c r="N971"/>
    </row>
    <row r="972" spans="9:14" x14ac:dyDescent="0.25">
      <c r="I972"/>
      <c r="J972"/>
      <c r="K972"/>
      <c r="L972"/>
      <c r="M972"/>
      <c r="N972"/>
    </row>
    <row r="973" spans="9:14" x14ac:dyDescent="0.25">
      <c r="I973"/>
      <c r="J973"/>
      <c r="K973"/>
      <c r="L973"/>
      <c r="M973"/>
      <c r="N973"/>
    </row>
    <row r="974" spans="9:14" x14ac:dyDescent="0.25">
      <c r="I974"/>
      <c r="J974"/>
      <c r="K974"/>
      <c r="L974"/>
      <c r="M974"/>
      <c r="N974"/>
    </row>
    <row r="975" spans="9:14" x14ac:dyDescent="0.25">
      <c r="I975"/>
      <c r="J975"/>
      <c r="K975"/>
      <c r="L975"/>
      <c r="M975"/>
      <c r="N975"/>
    </row>
    <row r="976" spans="9:14" x14ac:dyDescent="0.25">
      <c r="I976"/>
      <c r="J976"/>
      <c r="K976"/>
      <c r="L976"/>
      <c r="M976"/>
      <c r="N976"/>
    </row>
    <row r="977" spans="9:14" x14ac:dyDescent="0.25">
      <c r="I977"/>
      <c r="J977"/>
      <c r="K977"/>
      <c r="L977"/>
      <c r="M977"/>
      <c r="N977"/>
    </row>
    <row r="978" spans="9:14" x14ac:dyDescent="0.25">
      <c r="I978"/>
      <c r="J978"/>
      <c r="K978"/>
      <c r="L978"/>
      <c r="M978"/>
      <c r="N978"/>
    </row>
    <row r="979" spans="9:14" x14ac:dyDescent="0.25">
      <c r="I979"/>
      <c r="J979"/>
      <c r="K979"/>
      <c r="L979"/>
      <c r="M979"/>
      <c r="N979"/>
    </row>
    <row r="980" spans="9:14" x14ac:dyDescent="0.25">
      <c r="I980"/>
      <c r="J980"/>
      <c r="K980"/>
      <c r="L980"/>
      <c r="M980"/>
      <c r="N980"/>
    </row>
    <row r="981" spans="9:14" x14ac:dyDescent="0.25">
      <c r="I981"/>
      <c r="J981"/>
      <c r="K981"/>
      <c r="L981"/>
      <c r="M981"/>
      <c r="N981"/>
    </row>
    <row r="982" spans="9:14" x14ac:dyDescent="0.25">
      <c r="I982"/>
      <c r="J982"/>
      <c r="K982"/>
      <c r="L982"/>
      <c r="M982"/>
      <c r="N982"/>
    </row>
    <row r="983" spans="9:14" x14ac:dyDescent="0.25">
      <c r="I983"/>
      <c r="J983"/>
      <c r="K983"/>
      <c r="L983"/>
      <c r="M983"/>
      <c r="N983"/>
    </row>
    <row r="984" spans="9:14" x14ac:dyDescent="0.25">
      <c r="I984"/>
      <c r="J984"/>
      <c r="K984"/>
      <c r="L984"/>
      <c r="M984"/>
      <c r="N984"/>
    </row>
    <row r="985" spans="9:14" x14ac:dyDescent="0.25">
      <c r="I985"/>
      <c r="J985"/>
      <c r="K985"/>
      <c r="L985"/>
      <c r="M985"/>
      <c r="N985"/>
    </row>
    <row r="986" spans="9:14" x14ac:dyDescent="0.25">
      <c r="I986"/>
      <c r="J986"/>
      <c r="K986"/>
      <c r="L986"/>
      <c r="M986"/>
      <c r="N986"/>
    </row>
    <row r="987" spans="9:14" x14ac:dyDescent="0.25">
      <c r="I987"/>
      <c r="J987"/>
      <c r="K987"/>
      <c r="L987"/>
      <c r="M987"/>
      <c r="N987"/>
    </row>
    <row r="988" spans="9:14" x14ac:dyDescent="0.25">
      <c r="I988"/>
      <c r="J988"/>
      <c r="K988"/>
      <c r="L988"/>
      <c r="M988"/>
      <c r="N988"/>
    </row>
    <row r="989" spans="9:14" x14ac:dyDescent="0.25">
      <c r="I989"/>
      <c r="J989"/>
      <c r="K989"/>
      <c r="L989"/>
      <c r="M989"/>
      <c r="N989"/>
    </row>
    <row r="990" spans="9:14" x14ac:dyDescent="0.25">
      <c r="I990"/>
      <c r="J990"/>
      <c r="K990"/>
      <c r="L990"/>
      <c r="M990"/>
      <c r="N990"/>
    </row>
    <row r="991" spans="9:14" x14ac:dyDescent="0.25">
      <c r="I991"/>
      <c r="J991"/>
      <c r="K991"/>
      <c r="L991"/>
      <c r="M991"/>
      <c r="N991"/>
    </row>
    <row r="992" spans="9:14" x14ac:dyDescent="0.25">
      <c r="I992"/>
      <c r="J992"/>
      <c r="K992"/>
      <c r="L992"/>
      <c r="M992"/>
      <c r="N992"/>
    </row>
    <row r="993" spans="9:14" x14ac:dyDescent="0.25">
      <c r="I993"/>
      <c r="J993"/>
      <c r="K993"/>
      <c r="L993"/>
      <c r="M993"/>
      <c r="N993"/>
    </row>
    <row r="994" spans="9:14" x14ac:dyDescent="0.25">
      <c r="I994"/>
      <c r="J994"/>
      <c r="K994"/>
      <c r="L994"/>
      <c r="M994"/>
      <c r="N994"/>
    </row>
    <row r="995" spans="9:14" x14ac:dyDescent="0.25">
      <c r="I995"/>
      <c r="J995"/>
      <c r="K995"/>
      <c r="L995"/>
      <c r="M995"/>
      <c r="N995"/>
    </row>
    <row r="996" spans="9:14" x14ac:dyDescent="0.25">
      <c r="I996"/>
      <c r="J996"/>
      <c r="K996"/>
      <c r="L996"/>
      <c r="M996"/>
      <c r="N996"/>
    </row>
    <row r="997" spans="9:14" x14ac:dyDescent="0.25">
      <c r="I997"/>
      <c r="J997"/>
      <c r="K997"/>
      <c r="L997"/>
      <c r="M997"/>
      <c r="N997"/>
    </row>
    <row r="998" spans="9:14" x14ac:dyDescent="0.25">
      <c r="I998"/>
      <c r="J998"/>
      <c r="K998"/>
      <c r="L998"/>
      <c r="M998"/>
      <c r="N998"/>
    </row>
    <row r="999" spans="9:14" x14ac:dyDescent="0.25">
      <c r="I999"/>
      <c r="J999"/>
      <c r="K999"/>
      <c r="L999"/>
      <c r="M999"/>
      <c r="N999"/>
    </row>
    <row r="1000" spans="9:14" x14ac:dyDescent="0.25">
      <c r="I1000"/>
      <c r="J1000"/>
      <c r="K1000"/>
      <c r="L1000"/>
      <c r="M1000"/>
      <c r="N1000"/>
    </row>
    <row r="1001" spans="9:14" x14ac:dyDescent="0.25">
      <c r="I1001"/>
      <c r="J1001"/>
      <c r="K1001"/>
      <c r="L1001"/>
      <c r="M1001"/>
      <c r="N1001"/>
    </row>
    <row r="1002" spans="9:14" x14ac:dyDescent="0.25">
      <c r="I1002"/>
      <c r="J1002"/>
      <c r="K1002"/>
      <c r="L1002"/>
      <c r="M1002"/>
      <c r="N1002"/>
    </row>
    <row r="1003" spans="9:14" x14ac:dyDescent="0.25">
      <c r="I1003"/>
      <c r="J1003"/>
      <c r="K1003"/>
      <c r="L1003"/>
      <c r="M1003"/>
      <c r="N1003"/>
    </row>
    <row r="1004" spans="9:14" x14ac:dyDescent="0.25">
      <c r="I1004"/>
      <c r="J1004"/>
      <c r="K1004"/>
      <c r="L1004"/>
      <c r="M1004"/>
      <c r="N1004"/>
    </row>
    <row r="1005" spans="9:14" x14ac:dyDescent="0.25">
      <c r="I1005"/>
      <c r="J1005"/>
      <c r="K1005"/>
      <c r="L1005"/>
      <c r="M1005"/>
      <c r="N1005"/>
    </row>
    <row r="1006" spans="9:14" x14ac:dyDescent="0.25">
      <c r="I1006"/>
      <c r="J1006"/>
      <c r="K1006"/>
      <c r="L1006"/>
      <c r="M1006"/>
      <c r="N1006"/>
    </row>
    <row r="1007" spans="9:14" x14ac:dyDescent="0.25">
      <c r="I1007"/>
      <c r="J1007"/>
      <c r="K1007"/>
      <c r="L1007"/>
      <c r="M1007"/>
      <c r="N1007"/>
    </row>
    <row r="1008" spans="9:14" x14ac:dyDescent="0.25">
      <c r="I1008"/>
      <c r="J1008"/>
      <c r="K1008"/>
      <c r="L1008"/>
      <c r="M1008"/>
      <c r="N1008"/>
    </row>
    <row r="1009" spans="9:14" x14ac:dyDescent="0.25">
      <c r="I1009"/>
      <c r="J1009"/>
      <c r="K1009"/>
      <c r="L1009"/>
      <c r="M1009"/>
      <c r="N1009"/>
    </row>
    <row r="1010" spans="9:14" x14ac:dyDescent="0.25">
      <c r="I1010"/>
      <c r="J1010"/>
      <c r="K1010"/>
      <c r="L1010"/>
      <c r="M1010"/>
      <c r="N1010"/>
    </row>
    <row r="1011" spans="9:14" x14ac:dyDescent="0.25">
      <c r="I1011"/>
      <c r="J1011"/>
      <c r="K1011"/>
      <c r="L1011"/>
      <c r="M1011"/>
      <c r="N1011"/>
    </row>
    <row r="1012" spans="9:14" x14ac:dyDescent="0.25">
      <c r="I1012"/>
      <c r="J1012"/>
      <c r="K1012"/>
      <c r="L1012"/>
      <c r="M1012"/>
      <c r="N1012"/>
    </row>
    <row r="1013" spans="9:14" x14ac:dyDescent="0.25">
      <c r="I1013"/>
      <c r="J1013"/>
      <c r="K1013"/>
      <c r="L1013"/>
      <c r="M1013"/>
      <c r="N1013"/>
    </row>
    <row r="1014" spans="9:14" x14ac:dyDescent="0.25">
      <c r="I1014"/>
      <c r="J1014"/>
      <c r="K1014"/>
      <c r="L1014"/>
      <c r="M1014"/>
      <c r="N1014"/>
    </row>
    <row r="1015" spans="9:14" x14ac:dyDescent="0.25">
      <c r="I1015"/>
      <c r="J1015"/>
      <c r="K1015"/>
      <c r="L1015"/>
      <c r="M1015"/>
      <c r="N1015"/>
    </row>
    <row r="1016" spans="9:14" x14ac:dyDescent="0.25">
      <c r="I1016"/>
      <c r="J1016"/>
      <c r="K1016"/>
      <c r="L1016"/>
      <c r="M1016"/>
      <c r="N1016"/>
    </row>
    <row r="1017" spans="9:14" x14ac:dyDescent="0.25">
      <c r="I1017"/>
      <c r="J1017"/>
      <c r="K1017"/>
      <c r="L1017"/>
      <c r="M1017"/>
      <c r="N1017"/>
    </row>
    <row r="1018" spans="9:14" x14ac:dyDescent="0.25">
      <c r="I1018"/>
      <c r="J1018"/>
      <c r="K1018"/>
      <c r="L1018"/>
      <c r="M1018"/>
      <c r="N1018"/>
    </row>
    <row r="1019" spans="9:14" x14ac:dyDescent="0.25">
      <c r="I1019"/>
      <c r="J1019"/>
      <c r="K1019"/>
      <c r="L1019"/>
      <c r="M1019"/>
      <c r="N1019"/>
    </row>
    <row r="1020" spans="9:14" x14ac:dyDescent="0.25">
      <c r="I1020"/>
      <c r="J1020"/>
      <c r="K1020"/>
      <c r="L1020"/>
      <c r="M1020"/>
      <c r="N1020"/>
    </row>
    <row r="1021" spans="9:14" x14ac:dyDescent="0.25">
      <c r="I1021"/>
      <c r="J1021"/>
      <c r="K1021"/>
      <c r="L1021"/>
      <c r="M1021"/>
      <c r="N1021"/>
    </row>
    <row r="1022" spans="9:14" x14ac:dyDescent="0.25">
      <c r="I1022"/>
      <c r="J1022"/>
      <c r="K1022"/>
      <c r="L1022"/>
      <c r="M1022"/>
      <c r="N1022"/>
    </row>
    <row r="1023" spans="9:14" x14ac:dyDescent="0.25">
      <c r="I1023"/>
      <c r="J1023"/>
      <c r="K1023"/>
      <c r="L1023"/>
      <c r="M1023"/>
      <c r="N1023"/>
    </row>
    <row r="1024" spans="9:14" x14ac:dyDescent="0.25">
      <c r="I1024"/>
      <c r="J1024"/>
      <c r="K1024"/>
      <c r="L1024"/>
      <c r="M1024"/>
      <c r="N1024"/>
    </row>
    <row r="1025" spans="9:14" x14ac:dyDescent="0.25">
      <c r="I1025"/>
      <c r="J1025"/>
      <c r="K1025"/>
      <c r="L1025"/>
      <c r="M1025"/>
      <c r="N1025"/>
    </row>
    <row r="1026" spans="9:14" x14ac:dyDescent="0.25">
      <c r="I1026"/>
      <c r="J1026"/>
      <c r="K1026"/>
      <c r="L1026"/>
      <c r="M1026"/>
      <c r="N1026"/>
    </row>
    <row r="1027" spans="9:14" x14ac:dyDescent="0.25">
      <c r="I1027"/>
      <c r="J1027"/>
      <c r="K1027"/>
      <c r="L1027"/>
      <c r="M1027"/>
      <c r="N1027"/>
    </row>
    <row r="1028" spans="9:14" x14ac:dyDescent="0.25">
      <c r="I1028"/>
      <c r="J1028"/>
      <c r="K1028"/>
      <c r="L1028"/>
      <c r="M1028"/>
      <c r="N1028"/>
    </row>
    <row r="1029" spans="9:14" x14ac:dyDescent="0.25">
      <c r="I1029"/>
      <c r="J1029"/>
      <c r="K1029"/>
      <c r="L1029"/>
      <c r="M1029"/>
      <c r="N1029"/>
    </row>
    <row r="1030" spans="9:14" x14ac:dyDescent="0.25">
      <c r="I1030"/>
      <c r="J1030"/>
      <c r="K1030"/>
      <c r="L1030"/>
      <c r="M1030"/>
      <c r="N1030"/>
    </row>
    <row r="1031" spans="9:14" x14ac:dyDescent="0.25">
      <c r="I1031"/>
      <c r="J1031"/>
      <c r="K1031"/>
      <c r="L1031"/>
      <c r="M1031"/>
      <c r="N1031"/>
    </row>
    <row r="1032" spans="9:14" x14ac:dyDescent="0.25">
      <c r="I1032"/>
      <c r="J1032"/>
      <c r="K1032"/>
      <c r="L1032"/>
      <c r="M1032"/>
      <c r="N1032"/>
    </row>
    <row r="1033" spans="9:14" x14ac:dyDescent="0.25">
      <c r="I1033"/>
      <c r="J1033"/>
      <c r="K1033"/>
      <c r="L1033"/>
      <c r="M1033"/>
      <c r="N1033"/>
    </row>
    <row r="1034" spans="9:14" x14ac:dyDescent="0.25">
      <c r="I1034"/>
      <c r="J1034"/>
      <c r="K1034"/>
      <c r="L1034"/>
      <c r="M1034"/>
      <c r="N1034"/>
    </row>
    <row r="1035" spans="9:14" x14ac:dyDescent="0.25">
      <c r="I1035"/>
      <c r="J1035"/>
      <c r="K1035"/>
      <c r="L1035"/>
      <c r="M1035"/>
      <c r="N1035"/>
    </row>
    <row r="1036" spans="9:14" x14ac:dyDescent="0.25">
      <c r="I1036"/>
      <c r="J1036"/>
      <c r="K1036"/>
      <c r="L1036"/>
      <c r="M1036"/>
      <c r="N1036"/>
    </row>
    <row r="1037" spans="9:14" x14ac:dyDescent="0.25">
      <c r="I1037"/>
      <c r="J1037"/>
      <c r="K1037"/>
      <c r="L1037"/>
      <c r="M1037"/>
      <c r="N1037"/>
    </row>
    <row r="1038" spans="9:14" x14ac:dyDescent="0.25">
      <c r="I1038"/>
      <c r="J1038"/>
      <c r="K1038"/>
      <c r="L1038"/>
      <c r="M1038"/>
      <c r="N1038"/>
    </row>
    <row r="1039" spans="9:14" x14ac:dyDescent="0.25">
      <c r="I1039"/>
      <c r="J1039"/>
      <c r="K1039"/>
      <c r="L1039"/>
      <c r="M1039"/>
      <c r="N1039"/>
    </row>
    <row r="1040" spans="9:14" x14ac:dyDescent="0.25">
      <c r="I1040"/>
      <c r="J1040"/>
      <c r="K1040"/>
      <c r="L1040"/>
      <c r="M1040"/>
      <c r="N1040"/>
    </row>
    <row r="1041" spans="9:14" x14ac:dyDescent="0.25">
      <c r="I1041"/>
      <c r="J1041"/>
      <c r="K1041"/>
      <c r="L1041"/>
      <c r="M1041"/>
      <c r="N1041"/>
    </row>
    <row r="1042" spans="9:14" x14ac:dyDescent="0.25">
      <c r="I1042"/>
      <c r="J1042"/>
      <c r="K1042"/>
      <c r="L1042"/>
      <c r="M1042"/>
      <c r="N1042"/>
    </row>
    <row r="1043" spans="9:14" x14ac:dyDescent="0.25">
      <c r="I1043"/>
      <c r="J1043"/>
      <c r="K1043"/>
      <c r="L1043"/>
      <c r="M1043"/>
      <c r="N1043"/>
    </row>
    <row r="1044" spans="9:14" x14ac:dyDescent="0.25">
      <c r="I1044"/>
      <c r="J1044"/>
      <c r="K1044"/>
      <c r="L1044"/>
      <c r="M1044"/>
      <c r="N1044"/>
    </row>
    <row r="1045" spans="9:14" x14ac:dyDescent="0.25">
      <c r="I1045"/>
      <c r="J1045"/>
      <c r="K1045"/>
      <c r="L1045"/>
      <c r="M1045"/>
      <c r="N1045"/>
    </row>
    <row r="1046" spans="9:14" x14ac:dyDescent="0.25">
      <c r="I1046"/>
      <c r="J1046"/>
      <c r="K1046"/>
      <c r="L1046"/>
      <c r="M1046"/>
      <c r="N1046"/>
    </row>
    <row r="1047" spans="9:14" x14ac:dyDescent="0.25">
      <c r="I1047"/>
      <c r="J1047"/>
      <c r="K1047"/>
      <c r="L1047"/>
      <c r="M1047"/>
      <c r="N1047"/>
    </row>
    <row r="1048" spans="9:14" x14ac:dyDescent="0.25">
      <c r="I1048"/>
      <c r="J1048"/>
      <c r="K1048"/>
      <c r="L1048"/>
      <c r="M1048"/>
      <c r="N1048"/>
    </row>
    <row r="1049" spans="9:14" x14ac:dyDescent="0.25">
      <c r="I1049"/>
      <c r="J1049"/>
      <c r="K1049"/>
      <c r="L1049"/>
      <c r="M1049"/>
      <c r="N1049"/>
    </row>
    <row r="1050" spans="9:14" x14ac:dyDescent="0.25">
      <c r="I1050"/>
      <c r="J1050"/>
      <c r="K1050"/>
      <c r="L1050"/>
      <c r="M1050"/>
      <c r="N1050"/>
    </row>
    <row r="1051" spans="9:14" x14ac:dyDescent="0.25">
      <c r="I1051"/>
      <c r="J1051"/>
      <c r="K1051"/>
      <c r="L1051"/>
      <c r="M1051"/>
      <c r="N1051"/>
    </row>
    <row r="1052" spans="9:14" x14ac:dyDescent="0.25">
      <c r="I1052"/>
      <c r="J1052"/>
      <c r="K1052"/>
      <c r="L1052"/>
      <c r="M1052"/>
      <c r="N1052"/>
    </row>
    <row r="1053" spans="9:14" x14ac:dyDescent="0.25">
      <c r="I1053"/>
      <c r="J1053"/>
      <c r="K1053"/>
      <c r="L1053"/>
      <c r="M1053"/>
      <c r="N1053"/>
    </row>
    <row r="1054" spans="9:14" x14ac:dyDescent="0.25">
      <c r="I1054"/>
      <c r="J1054"/>
      <c r="K1054"/>
      <c r="L1054"/>
      <c r="M1054"/>
      <c r="N1054"/>
    </row>
    <row r="1055" spans="9:14" x14ac:dyDescent="0.25">
      <c r="I1055"/>
      <c r="J1055"/>
      <c r="K1055"/>
      <c r="L1055"/>
      <c r="M1055"/>
      <c r="N1055"/>
    </row>
    <row r="1056" spans="9:14" x14ac:dyDescent="0.25">
      <c r="I1056"/>
      <c r="J1056"/>
      <c r="K1056"/>
      <c r="L1056"/>
      <c r="M1056"/>
      <c r="N1056"/>
    </row>
    <row r="1057" spans="9:14" x14ac:dyDescent="0.25">
      <c r="I1057"/>
      <c r="J1057"/>
      <c r="K1057"/>
      <c r="L1057"/>
      <c r="M1057"/>
      <c r="N1057"/>
    </row>
    <row r="1058" spans="9:14" x14ac:dyDescent="0.25">
      <c r="I1058"/>
      <c r="J1058"/>
      <c r="K1058"/>
      <c r="L1058"/>
      <c r="M1058"/>
      <c r="N1058"/>
    </row>
    <row r="1059" spans="9:14" x14ac:dyDescent="0.25">
      <c r="I1059"/>
      <c r="J1059"/>
      <c r="K1059"/>
      <c r="L1059"/>
      <c r="M1059"/>
      <c r="N1059"/>
    </row>
    <row r="1060" spans="9:14" x14ac:dyDescent="0.25">
      <c r="I1060"/>
      <c r="J1060"/>
      <c r="K1060"/>
      <c r="L1060"/>
      <c r="M1060"/>
      <c r="N1060"/>
    </row>
    <row r="1061" spans="9:14" x14ac:dyDescent="0.25">
      <c r="I1061"/>
      <c r="J1061"/>
      <c r="K1061"/>
      <c r="L1061"/>
      <c r="M1061"/>
      <c r="N1061"/>
    </row>
    <row r="1062" spans="9:14" x14ac:dyDescent="0.25">
      <c r="I1062"/>
      <c r="J1062"/>
      <c r="K1062"/>
      <c r="L1062"/>
      <c r="M1062"/>
      <c r="N1062"/>
    </row>
    <row r="1063" spans="9:14" x14ac:dyDescent="0.25">
      <c r="I1063"/>
      <c r="J1063"/>
      <c r="K1063"/>
      <c r="L1063"/>
      <c r="M1063"/>
      <c r="N1063"/>
    </row>
    <row r="1064" spans="9:14" x14ac:dyDescent="0.25">
      <c r="I1064"/>
      <c r="J1064"/>
      <c r="K1064"/>
      <c r="L1064"/>
      <c r="M1064"/>
      <c r="N1064"/>
    </row>
    <row r="1065" spans="9:14" x14ac:dyDescent="0.25">
      <c r="I1065"/>
      <c r="J1065"/>
      <c r="K1065"/>
      <c r="L1065"/>
      <c r="M1065"/>
      <c r="N1065"/>
    </row>
    <row r="1066" spans="9:14" x14ac:dyDescent="0.25">
      <c r="I1066"/>
      <c r="J1066"/>
      <c r="K1066"/>
      <c r="L1066"/>
      <c r="M1066"/>
      <c r="N1066"/>
    </row>
    <row r="1067" spans="9:14" x14ac:dyDescent="0.25">
      <c r="I1067"/>
      <c r="J1067"/>
      <c r="K1067"/>
      <c r="L1067"/>
      <c r="M1067"/>
      <c r="N1067"/>
    </row>
    <row r="1068" spans="9:14" x14ac:dyDescent="0.25">
      <c r="I1068"/>
      <c r="J1068"/>
      <c r="K1068"/>
      <c r="L1068"/>
      <c r="M1068"/>
      <c r="N1068"/>
    </row>
    <row r="1069" spans="9:14" x14ac:dyDescent="0.25">
      <c r="I1069"/>
      <c r="J1069"/>
      <c r="K1069"/>
      <c r="L1069"/>
      <c r="M1069"/>
      <c r="N1069"/>
    </row>
    <row r="1070" spans="9:14" x14ac:dyDescent="0.25">
      <c r="I1070"/>
      <c r="J1070"/>
      <c r="K1070"/>
      <c r="L1070"/>
      <c r="M1070"/>
      <c r="N1070"/>
    </row>
    <row r="1071" spans="9:14" x14ac:dyDescent="0.25">
      <c r="I1071"/>
      <c r="J1071"/>
      <c r="K1071"/>
      <c r="L1071"/>
      <c r="M1071"/>
      <c r="N1071"/>
    </row>
    <row r="1072" spans="9:14" x14ac:dyDescent="0.25">
      <c r="I1072"/>
      <c r="J1072"/>
      <c r="K1072"/>
      <c r="L1072"/>
      <c r="M1072"/>
      <c r="N1072"/>
    </row>
    <row r="1073" spans="9:14" x14ac:dyDescent="0.25">
      <c r="I1073"/>
      <c r="J1073"/>
      <c r="K1073"/>
      <c r="L1073"/>
      <c r="M1073"/>
      <c r="N1073"/>
    </row>
    <row r="1074" spans="9:14" x14ac:dyDescent="0.25">
      <c r="I1074"/>
      <c r="J1074"/>
      <c r="K1074"/>
      <c r="L1074"/>
      <c r="M1074"/>
      <c r="N1074"/>
    </row>
    <row r="1075" spans="9:14" x14ac:dyDescent="0.25">
      <c r="I1075"/>
      <c r="J1075"/>
      <c r="K1075"/>
      <c r="L1075"/>
      <c r="M1075"/>
      <c r="N1075"/>
    </row>
    <row r="1076" spans="9:14" x14ac:dyDescent="0.25">
      <c r="I1076"/>
      <c r="J1076"/>
      <c r="K1076"/>
      <c r="L1076"/>
      <c r="M1076"/>
      <c r="N1076"/>
    </row>
    <row r="1077" spans="9:14" x14ac:dyDescent="0.25">
      <c r="I1077"/>
      <c r="J1077"/>
      <c r="K1077"/>
      <c r="L1077"/>
      <c r="M1077"/>
      <c r="N1077"/>
    </row>
    <row r="1078" spans="9:14" x14ac:dyDescent="0.25">
      <c r="I1078"/>
      <c r="J1078"/>
      <c r="K1078"/>
      <c r="L1078"/>
      <c r="M1078"/>
      <c r="N1078"/>
    </row>
    <row r="1079" spans="9:14" x14ac:dyDescent="0.25">
      <c r="I1079"/>
      <c r="J1079"/>
      <c r="K1079"/>
      <c r="L1079"/>
      <c r="M1079"/>
      <c r="N1079"/>
    </row>
    <row r="1080" spans="9:14" x14ac:dyDescent="0.25">
      <c r="I1080"/>
      <c r="J1080"/>
      <c r="K1080"/>
      <c r="L1080"/>
      <c r="M1080"/>
      <c r="N1080"/>
    </row>
    <row r="1081" spans="9:14" x14ac:dyDescent="0.25">
      <c r="I1081"/>
      <c r="J1081"/>
      <c r="K1081"/>
      <c r="L1081"/>
      <c r="M1081"/>
      <c r="N1081"/>
    </row>
    <row r="1082" spans="9:14" x14ac:dyDescent="0.25">
      <c r="I1082"/>
      <c r="J1082"/>
      <c r="K1082"/>
      <c r="L1082"/>
      <c r="M1082"/>
      <c r="N1082"/>
    </row>
    <row r="1083" spans="9:14" x14ac:dyDescent="0.25">
      <c r="I1083"/>
      <c r="J1083"/>
      <c r="K1083"/>
      <c r="L1083"/>
      <c r="M1083"/>
      <c r="N1083"/>
    </row>
    <row r="1084" spans="9:14" x14ac:dyDescent="0.25">
      <c r="I1084"/>
      <c r="J1084"/>
      <c r="K1084"/>
      <c r="L1084"/>
      <c r="M1084"/>
      <c r="N1084"/>
    </row>
    <row r="1085" spans="9:14" x14ac:dyDescent="0.25">
      <c r="I1085"/>
      <c r="J1085"/>
      <c r="K1085"/>
      <c r="L1085"/>
      <c r="M1085"/>
      <c r="N1085"/>
    </row>
    <row r="1086" spans="9:14" x14ac:dyDescent="0.25">
      <c r="I1086"/>
      <c r="J1086"/>
      <c r="K1086"/>
      <c r="L1086"/>
      <c r="M1086"/>
      <c r="N1086"/>
    </row>
    <row r="1087" spans="9:14" x14ac:dyDescent="0.25">
      <c r="I1087"/>
      <c r="J1087"/>
      <c r="K1087"/>
      <c r="L1087"/>
      <c r="M1087"/>
      <c r="N1087"/>
    </row>
    <row r="1088" spans="9:14" x14ac:dyDescent="0.25">
      <c r="I1088"/>
      <c r="J1088"/>
      <c r="K1088"/>
      <c r="L1088"/>
      <c r="M1088"/>
      <c r="N1088"/>
    </row>
    <row r="1089" spans="9:14" x14ac:dyDescent="0.25">
      <c r="I1089"/>
      <c r="J1089"/>
      <c r="K1089"/>
      <c r="L1089"/>
      <c r="M1089"/>
      <c r="N1089"/>
    </row>
    <row r="1090" spans="9:14" x14ac:dyDescent="0.25">
      <c r="I1090"/>
      <c r="J1090"/>
      <c r="K1090"/>
      <c r="L1090"/>
      <c r="M1090"/>
      <c r="N1090"/>
    </row>
    <row r="1091" spans="9:14" x14ac:dyDescent="0.25">
      <c r="I1091"/>
      <c r="J1091"/>
      <c r="K1091"/>
      <c r="L1091"/>
      <c r="M1091"/>
      <c r="N1091"/>
    </row>
    <row r="1092" spans="9:14" x14ac:dyDescent="0.25">
      <c r="I1092"/>
      <c r="J1092"/>
      <c r="K1092"/>
      <c r="L1092"/>
      <c r="M1092"/>
      <c r="N1092"/>
    </row>
    <row r="1093" spans="9:14" x14ac:dyDescent="0.25">
      <c r="I1093"/>
      <c r="J1093"/>
      <c r="K1093"/>
      <c r="L1093"/>
      <c r="M1093"/>
      <c r="N1093"/>
    </row>
    <row r="1094" spans="9:14" x14ac:dyDescent="0.25">
      <c r="I1094"/>
      <c r="J1094"/>
      <c r="K1094"/>
      <c r="L1094"/>
      <c r="M1094"/>
      <c r="N1094"/>
    </row>
    <row r="1095" spans="9:14" x14ac:dyDescent="0.25">
      <c r="I1095"/>
      <c r="J1095"/>
      <c r="K1095"/>
      <c r="L1095"/>
      <c r="M1095"/>
      <c r="N1095"/>
    </row>
    <row r="1096" spans="9:14" x14ac:dyDescent="0.25">
      <c r="I1096"/>
      <c r="J1096"/>
      <c r="K1096"/>
      <c r="L1096"/>
      <c r="M1096"/>
      <c r="N1096"/>
    </row>
    <row r="1097" spans="9:14" x14ac:dyDescent="0.25">
      <c r="I1097"/>
      <c r="J1097"/>
      <c r="K1097"/>
      <c r="L1097"/>
      <c r="M1097"/>
      <c r="N1097"/>
    </row>
    <row r="1098" spans="9:14" x14ac:dyDescent="0.25">
      <c r="I1098"/>
      <c r="J1098"/>
      <c r="K1098"/>
      <c r="L1098"/>
      <c r="M1098"/>
      <c r="N1098"/>
    </row>
    <row r="1099" spans="9:14" x14ac:dyDescent="0.25">
      <c r="I1099"/>
      <c r="J1099"/>
      <c r="K1099"/>
      <c r="L1099"/>
      <c r="M1099"/>
      <c r="N1099"/>
    </row>
    <row r="1100" spans="9:14" x14ac:dyDescent="0.25">
      <c r="I1100"/>
      <c r="J1100"/>
      <c r="K1100"/>
      <c r="L1100"/>
      <c r="M1100"/>
      <c r="N1100"/>
    </row>
    <row r="1101" spans="9:14" x14ac:dyDescent="0.25">
      <c r="I1101"/>
      <c r="J1101"/>
      <c r="K1101"/>
      <c r="L1101"/>
      <c r="M1101"/>
      <c r="N1101"/>
    </row>
    <row r="1102" spans="9:14" x14ac:dyDescent="0.25">
      <c r="I1102"/>
      <c r="J1102"/>
      <c r="K1102"/>
      <c r="L1102"/>
      <c r="M1102"/>
      <c r="N1102"/>
    </row>
    <row r="1103" spans="9:14" x14ac:dyDescent="0.25">
      <c r="I1103"/>
      <c r="J1103"/>
      <c r="K1103"/>
      <c r="L1103"/>
      <c r="M1103"/>
      <c r="N1103"/>
    </row>
    <row r="1104" spans="9:14" x14ac:dyDescent="0.25">
      <c r="I1104"/>
      <c r="J1104"/>
      <c r="K1104"/>
      <c r="L1104"/>
      <c r="M1104"/>
      <c r="N1104"/>
    </row>
    <row r="1105" spans="9:14" x14ac:dyDescent="0.25">
      <c r="I1105"/>
      <c r="J1105"/>
      <c r="K1105"/>
      <c r="L1105"/>
      <c r="M1105"/>
      <c r="N1105"/>
    </row>
    <row r="1106" spans="9:14" x14ac:dyDescent="0.25">
      <c r="I1106"/>
      <c r="J1106"/>
      <c r="K1106"/>
      <c r="L1106"/>
      <c r="M1106"/>
      <c r="N1106"/>
    </row>
    <row r="1107" spans="9:14" x14ac:dyDescent="0.25">
      <c r="I1107"/>
      <c r="J1107"/>
      <c r="K1107"/>
      <c r="L1107"/>
      <c r="M1107"/>
      <c r="N1107"/>
    </row>
    <row r="1108" spans="9:14" x14ac:dyDescent="0.25">
      <c r="I1108"/>
      <c r="J1108"/>
      <c r="K1108"/>
      <c r="L1108"/>
      <c r="M1108"/>
      <c r="N1108"/>
    </row>
    <row r="1109" spans="9:14" x14ac:dyDescent="0.25">
      <c r="I1109"/>
      <c r="J1109"/>
      <c r="K1109"/>
      <c r="L1109"/>
      <c r="M1109"/>
      <c r="N1109"/>
    </row>
    <row r="1110" spans="9:14" x14ac:dyDescent="0.25">
      <c r="I1110"/>
      <c r="J1110"/>
      <c r="K1110"/>
      <c r="L1110"/>
      <c r="M1110"/>
      <c r="N1110"/>
    </row>
    <row r="1111" spans="9:14" x14ac:dyDescent="0.25">
      <c r="I1111"/>
      <c r="J1111"/>
      <c r="K1111"/>
      <c r="L1111"/>
      <c r="M1111"/>
      <c r="N1111"/>
    </row>
    <row r="1112" spans="9:14" x14ac:dyDescent="0.25">
      <c r="I1112"/>
      <c r="J1112"/>
      <c r="K1112"/>
      <c r="L1112"/>
      <c r="M1112"/>
      <c r="N1112"/>
    </row>
    <row r="1113" spans="9:14" x14ac:dyDescent="0.25">
      <c r="I1113"/>
      <c r="J1113"/>
      <c r="K1113"/>
      <c r="L1113"/>
      <c r="M1113"/>
      <c r="N1113"/>
    </row>
    <row r="1114" spans="9:14" x14ac:dyDescent="0.25">
      <c r="I1114"/>
      <c r="J1114"/>
      <c r="K1114"/>
      <c r="L1114"/>
      <c r="M1114"/>
      <c r="N1114"/>
    </row>
    <row r="1115" spans="9:14" x14ac:dyDescent="0.25">
      <c r="I1115"/>
      <c r="J1115"/>
      <c r="K1115"/>
      <c r="L1115"/>
      <c r="M1115"/>
      <c r="N1115"/>
    </row>
    <row r="1116" spans="9:14" x14ac:dyDescent="0.25">
      <c r="I1116"/>
      <c r="J1116"/>
      <c r="K1116"/>
      <c r="L1116"/>
      <c r="M1116"/>
      <c r="N1116"/>
    </row>
    <row r="1117" spans="9:14" x14ac:dyDescent="0.25">
      <c r="I1117"/>
      <c r="J1117"/>
      <c r="K1117"/>
      <c r="L1117"/>
      <c r="M1117"/>
      <c r="N1117"/>
    </row>
    <row r="1118" spans="9:14" x14ac:dyDescent="0.25">
      <c r="I1118"/>
      <c r="J1118"/>
      <c r="K1118"/>
      <c r="L1118"/>
      <c r="M1118"/>
      <c r="N1118"/>
    </row>
    <row r="1119" spans="9:14" x14ac:dyDescent="0.25">
      <c r="I1119"/>
      <c r="J1119"/>
      <c r="K1119"/>
      <c r="L1119"/>
      <c r="M1119"/>
      <c r="N1119"/>
    </row>
    <row r="1120" spans="9:14" x14ac:dyDescent="0.25">
      <c r="I1120"/>
      <c r="J1120"/>
      <c r="K1120"/>
      <c r="L1120"/>
      <c r="M1120"/>
      <c r="N1120"/>
    </row>
    <row r="1121" spans="9:14" x14ac:dyDescent="0.25">
      <c r="I1121"/>
      <c r="J1121"/>
      <c r="K1121"/>
      <c r="L1121"/>
      <c r="M1121"/>
      <c r="N1121"/>
    </row>
    <row r="1122" spans="9:14" x14ac:dyDescent="0.25">
      <c r="I1122"/>
      <c r="J1122"/>
      <c r="K1122"/>
      <c r="L1122"/>
      <c r="M1122"/>
      <c r="N1122"/>
    </row>
    <row r="1123" spans="9:14" x14ac:dyDescent="0.25">
      <c r="I1123"/>
      <c r="J1123"/>
      <c r="K1123"/>
      <c r="L1123"/>
      <c r="M1123"/>
      <c r="N1123"/>
    </row>
    <row r="1124" spans="9:14" x14ac:dyDescent="0.25">
      <c r="I1124"/>
      <c r="J1124"/>
      <c r="K1124"/>
      <c r="L1124"/>
      <c r="M1124"/>
      <c r="N1124"/>
    </row>
    <row r="1125" spans="9:14" x14ac:dyDescent="0.25">
      <c r="I1125"/>
      <c r="J1125"/>
      <c r="K1125"/>
      <c r="L1125"/>
      <c r="M1125"/>
      <c r="N1125"/>
    </row>
    <row r="1126" spans="9:14" x14ac:dyDescent="0.25">
      <c r="I1126"/>
      <c r="J1126"/>
      <c r="K1126"/>
      <c r="L1126"/>
      <c r="M1126"/>
      <c r="N1126"/>
    </row>
    <row r="1127" spans="9:14" x14ac:dyDescent="0.25">
      <c r="I1127"/>
      <c r="J1127"/>
      <c r="K1127"/>
      <c r="L1127"/>
      <c r="M1127"/>
      <c r="N1127"/>
    </row>
    <row r="1128" spans="9:14" x14ac:dyDescent="0.25">
      <c r="I1128"/>
      <c r="J1128"/>
      <c r="K1128"/>
      <c r="L1128"/>
      <c r="M1128"/>
      <c r="N1128"/>
    </row>
    <row r="1129" spans="9:14" x14ac:dyDescent="0.25">
      <c r="I1129"/>
      <c r="J1129"/>
      <c r="K1129"/>
      <c r="L1129"/>
      <c r="M1129"/>
      <c r="N1129"/>
    </row>
    <row r="1130" spans="9:14" x14ac:dyDescent="0.25">
      <c r="I1130"/>
      <c r="J1130"/>
      <c r="K1130"/>
      <c r="L1130"/>
      <c r="M1130"/>
      <c r="N1130"/>
    </row>
    <row r="1131" spans="9:14" x14ac:dyDescent="0.25">
      <c r="I1131"/>
      <c r="J1131"/>
      <c r="K1131"/>
      <c r="L1131"/>
      <c r="M1131"/>
      <c r="N1131"/>
    </row>
    <row r="1132" spans="9:14" x14ac:dyDescent="0.25">
      <c r="I1132"/>
      <c r="J1132"/>
      <c r="K1132"/>
      <c r="L1132"/>
      <c r="M1132"/>
      <c r="N1132"/>
    </row>
    <row r="1133" spans="9:14" x14ac:dyDescent="0.25">
      <c r="I1133"/>
      <c r="J1133"/>
      <c r="K1133"/>
      <c r="L1133"/>
      <c r="M1133"/>
      <c r="N1133"/>
    </row>
    <row r="1134" spans="9:14" x14ac:dyDescent="0.25">
      <c r="I1134"/>
      <c r="J1134"/>
      <c r="K1134"/>
      <c r="L1134"/>
      <c r="M1134"/>
      <c r="N1134"/>
    </row>
    <row r="1135" spans="9:14" x14ac:dyDescent="0.25">
      <c r="I1135"/>
      <c r="J1135"/>
      <c r="K1135"/>
      <c r="L1135"/>
      <c r="M1135"/>
      <c r="N1135"/>
    </row>
    <row r="1136" spans="9:14" x14ac:dyDescent="0.25">
      <c r="I1136"/>
      <c r="J1136"/>
      <c r="K1136"/>
      <c r="L1136"/>
      <c r="M1136"/>
      <c r="N1136"/>
    </row>
    <row r="1137" spans="9:14" x14ac:dyDescent="0.25">
      <c r="I1137"/>
      <c r="J1137"/>
      <c r="K1137"/>
      <c r="L1137"/>
      <c r="M1137"/>
      <c r="N1137"/>
    </row>
    <row r="1138" spans="9:14" x14ac:dyDescent="0.25">
      <c r="I1138"/>
      <c r="J1138"/>
      <c r="K1138"/>
      <c r="L1138"/>
      <c r="M1138"/>
      <c r="N1138"/>
    </row>
    <row r="1139" spans="9:14" x14ac:dyDescent="0.25">
      <c r="I1139"/>
      <c r="J1139"/>
      <c r="K1139"/>
      <c r="L1139"/>
      <c r="M1139"/>
      <c r="N1139"/>
    </row>
    <row r="1140" spans="9:14" x14ac:dyDescent="0.25">
      <c r="I1140"/>
      <c r="J1140"/>
      <c r="K1140"/>
      <c r="L1140"/>
      <c r="M1140"/>
      <c r="N1140"/>
    </row>
    <row r="1141" spans="9:14" x14ac:dyDescent="0.25">
      <c r="I1141"/>
      <c r="J1141"/>
      <c r="K1141"/>
      <c r="L1141"/>
      <c r="M1141"/>
      <c r="N1141"/>
    </row>
    <row r="1142" spans="9:14" x14ac:dyDescent="0.25">
      <c r="I1142"/>
      <c r="J1142"/>
      <c r="K1142"/>
      <c r="L1142"/>
      <c r="M1142"/>
      <c r="N1142"/>
    </row>
    <row r="1143" spans="9:14" x14ac:dyDescent="0.25">
      <c r="I1143"/>
      <c r="J1143"/>
      <c r="K1143"/>
      <c r="L1143"/>
      <c r="M1143"/>
      <c r="N1143"/>
    </row>
    <row r="1144" spans="9:14" x14ac:dyDescent="0.25">
      <c r="I1144"/>
      <c r="J1144"/>
      <c r="K1144"/>
      <c r="L1144"/>
      <c r="M1144"/>
      <c r="N1144"/>
    </row>
    <row r="1145" spans="9:14" x14ac:dyDescent="0.25">
      <c r="I1145"/>
      <c r="J1145"/>
      <c r="K1145"/>
      <c r="L1145"/>
      <c r="M1145"/>
      <c r="N1145"/>
    </row>
    <row r="1146" spans="9:14" x14ac:dyDescent="0.25">
      <c r="I1146"/>
      <c r="J1146"/>
      <c r="K1146"/>
      <c r="L1146"/>
      <c r="M1146"/>
      <c r="N1146"/>
    </row>
    <row r="1147" spans="9:14" x14ac:dyDescent="0.25">
      <c r="I1147"/>
      <c r="J1147"/>
      <c r="K1147"/>
      <c r="L1147"/>
      <c r="M1147"/>
      <c r="N1147"/>
    </row>
    <row r="1148" spans="9:14" x14ac:dyDescent="0.25">
      <c r="I1148"/>
      <c r="J1148"/>
      <c r="K1148"/>
      <c r="L1148"/>
      <c r="M1148"/>
      <c r="N1148"/>
    </row>
    <row r="1149" spans="9:14" x14ac:dyDescent="0.25">
      <c r="I1149"/>
      <c r="J1149"/>
      <c r="K1149"/>
      <c r="L1149"/>
      <c r="M1149"/>
      <c r="N1149"/>
    </row>
    <row r="1150" spans="9:14" x14ac:dyDescent="0.25">
      <c r="I1150"/>
      <c r="J1150"/>
      <c r="K1150"/>
      <c r="L1150"/>
      <c r="M1150"/>
      <c r="N1150"/>
    </row>
    <row r="1151" spans="9:14" x14ac:dyDescent="0.25">
      <c r="I1151"/>
      <c r="J1151"/>
      <c r="K1151"/>
      <c r="L1151"/>
      <c r="M1151"/>
      <c r="N1151"/>
    </row>
    <row r="1152" spans="9:14" x14ac:dyDescent="0.25">
      <c r="I1152"/>
      <c r="J1152"/>
      <c r="K1152"/>
      <c r="L1152"/>
      <c r="M1152"/>
      <c r="N1152"/>
    </row>
    <row r="1153" spans="9:14" x14ac:dyDescent="0.25">
      <c r="I1153"/>
      <c r="J1153"/>
      <c r="K1153"/>
      <c r="L1153"/>
      <c r="M1153"/>
      <c r="N1153"/>
    </row>
    <row r="1154" spans="9:14" x14ac:dyDescent="0.25">
      <c r="I1154"/>
      <c r="J1154"/>
      <c r="K1154"/>
      <c r="L1154"/>
      <c r="M1154"/>
      <c r="N1154"/>
    </row>
    <row r="1155" spans="9:14" x14ac:dyDescent="0.25">
      <c r="I1155"/>
      <c r="J1155"/>
      <c r="K1155"/>
      <c r="L1155"/>
      <c r="M1155"/>
      <c r="N1155"/>
    </row>
    <row r="1156" spans="9:14" x14ac:dyDescent="0.25">
      <c r="I1156"/>
      <c r="J1156"/>
      <c r="K1156"/>
      <c r="L1156"/>
      <c r="M1156"/>
      <c r="N1156"/>
    </row>
    <row r="1157" spans="9:14" x14ac:dyDescent="0.25">
      <c r="I1157"/>
      <c r="J1157"/>
      <c r="K1157"/>
      <c r="L1157"/>
      <c r="M1157"/>
      <c r="N1157"/>
    </row>
    <row r="1158" spans="9:14" x14ac:dyDescent="0.25">
      <c r="I1158"/>
      <c r="J1158"/>
      <c r="K1158"/>
      <c r="L1158"/>
      <c r="M1158"/>
      <c r="N1158"/>
    </row>
    <row r="1159" spans="9:14" x14ac:dyDescent="0.25">
      <c r="I1159"/>
      <c r="J1159"/>
      <c r="K1159"/>
      <c r="L1159"/>
      <c r="M1159"/>
      <c r="N1159"/>
    </row>
    <row r="1160" spans="9:14" x14ac:dyDescent="0.25">
      <c r="I1160"/>
      <c r="J1160"/>
      <c r="K1160"/>
      <c r="L1160"/>
      <c r="M1160"/>
      <c r="N1160"/>
    </row>
    <row r="1161" spans="9:14" x14ac:dyDescent="0.25">
      <c r="I1161"/>
      <c r="J1161"/>
      <c r="K1161"/>
      <c r="L1161"/>
      <c r="M1161"/>
      <c r="N1161"/>
    </row>
    <row r="1162" spans="9:14" x14ac:dyDescent="0.25">
      <c r="I1162"/>
      <c r="J1162"/>
      <c r="K1162"/>
      <c r="L1162"/>
      <c r="M1162"/>
      <c r="N1162"/>
    </row>
    <row r="1163" spans="9:14" x14ac:dyDescent="0.25">
      <c r="I1163"/>
      <c r="J1163"/>
      <c r="K1163"/>
      <c r="L1163"/>
      <c r="M1163"/>
      <c r="N1163"/>
    </row>
    <row r="1164" spans="9:14" x14ac:dyDescent="0.25">
      <c r="I1164"/>
      <c r="J1164"/>
      <c r="K1164"/>
      <c r="L1164"/>
      <c r="M1164"/>
      <c r="N1164"/>
    </row>
    <row r="1165" spans="9:14" x14ac:dyDescent="0.25">
      <c r="I1165"/>
      <c r="J1165"/>
      <c r="K1165"/>
      <c r="L1165"/>
      <c r="M1165"/>
      <c r="N1165"/>
    </row>
    <row r="1166" spans="9:14" x14ac:dyDescent="0.25">
      <c r="I1166"/>
      <c r="J1166"/>
      <c r="K1166"/>
      <c r="L1166"/>
      <c r="M1166"/>
      <c r="N1166"/>
    </row>
    <row r="1167" spans="9:14" x14ac:dyDescent="0.25">
      <c r="I1167"/>
      <c r="J1167"/>
      <c r="K1167"/>
      <c r="L1167"/>
      <c r="M1167"/>
      <c r="N1167"/>
    </row>
    <row r="1168" spans="9:14" x14ac:dyDescent="0.25">
      <c r="I1168"/>
      <c r="J1168"/>
      <c r="K1168"/>
      <c r="L1168"/>
      <c r="M1168"/>
      <c r="N1168"/>
    </row>
    <row r="1169" spans="9:14" x14ac:dyDescent="0.25">
      <c r="I1169"/>
      <c r="J1169"/>
      <c r="K1169"/>
      <c r="L1169"/>
      <c r="M1169"/>
      <c r="N1169"/>
    </row>
    <row r="1170" spans="9:14" x14ac:dyDescent="0.25">
      <c r="I1170"/>
      <c r="J1170"/>
      <c r="K1170"/>
      <c r="L1170"/>
      <c r="M1170"/>
      <c r="N1170"/>
    </row>
    <row r="1171" spans="9:14" x14ac:dyDescent="0.25">
      <c r="I1171"/>
      <c r="J1171"/>
      <c r="K1171"/>
      <c r="L1171"/>
      <c r="M1171"/>
      <c r="N1171"/>
    </row>
    <row r="1172" spans="9:14" x14ac:dyDescent="0.25">
      <c r="I1172"/>
      <c r="J1172"/>
      <c r="K1172"/>
      <c r="L1172"/>
      <c r="M1172"/>
      <c r="N1172"/>
    </row>
    <row r="1173" spans="9:14" x14ac:dyDescent="0.25">
      <c r="I1173"/>
      <c r="J1173"/>
      <c r="K1173"/>
      <c r="L1173"/>
      <c r="M1173"/>
      <c r="N1173"/>
    </row>
    <row r="1174" spans="9:14" x14ac:dyDescent="0.25">
      <c r="I1174"/>
      <c r="J1174"/>
      <c r="K1174"/>
      <c r="L1174"/>
      <c r="M1174"/>
      <c r="N1174"/>
    </row>
    <row r="1175" spans="9:14" x14ac:dyDescent="0.25">
      <c r="I1175"/>
      <c r="J1175"/>
      <c r="K1175"/>
      <c r="L1175"/>
      <c r="M1175"/>
      <c r="N1175"/>
    </row>
    <row r="1176" spans="9:14" x14ac:dyDescent="0.25">
      <c r="I1176"/>
      <c r="J1176"/>
      <c r="K1176"/>
      <c r="L1176"/>
      <c r="M1176"/>
      <c r="N1176"/>
    </row>
    <row r="1177" spans="9:14" x14ac:dyDescent="0.25">
      <c r="I1177"/>
      <c r="J1177"/>
      <c r="K1177"/>
      <c r="L1177"/>
      <c r="M1177"/>
      <c r="N1177"/>
    </row>
    <row r="1178" spans="9:14" x14ac:dyDescent="0.25">
      <c r="I1178"/>
      <c r="J1178"/>
      <c r="K1178"/>
      <c r="L1178"/>
      <c r="M1178"/>
      <c r="N1178"/>
    </row>
    <row r="1179" spans="9:14" x14ac:dyDescent="0.25">
      <c r="I1179"/>
      <c r="J1179"/>
      <c r="K1179"/>
      <c r="L1179"/>
      <c r="M1179"/>
      <c r="N1179"/>
    </row>
    <row r="1180" spans="9:14" x14ac:dyDescent="0.25">
      <c r="I1180"/>
      <c r="J1180"/>
      <c r="K1180"/>
      <c r="L1180"/>
      <c r="M1180"/>
      <c r="N1180"/>
    </row>
    <row r="1181" spans="9:14" x14ac:dyDescent="0.25">
      <c r="I1181"/>
      <c r="J1181"/>
      <c r="K1181"/>
      <c r="L1181"/>
      <c r="M1181"/>
      <c r="N1181"/>
    </row>
    <row r="1182" spans="9:14" x14ac:dyDescent="0.25">
      <c r="I1182"/>
      <c r="J1182"/>
      <c r="K1182"/>
      <c r="L1182"/>
      <c r="M1182"/>
      <c r="N1182"/>
    </row>
    <row r="1183" spans="9:14" x14ac:dyDescent="0.25">
      <c r="I1183"/>
      <c r="J1183"/>
      <c r="K1183"/>
      <c r="L1183"/>
      <c r="M1183"/>
      <c r="N1183"/>
    </row>
    <row r="1184" spans="9:14" x14ac:dyDescent="0.25">
      <c r="I1184"/>
      <c r="J1184"/>
      <c r="K1184"/>
      <c r="L1184"/>
      <c r="M1184"/>
      <c r="N1184"/>
    </row>
    <row r="1185" spans="9:14" x14ac:dyDescent="0.25">
      <c r="I1185"/>
      <c r="J1185"/>
      <c r="K1185"/>
      <c r="L1185"/>
      <c r="M1185"/>
      <c r="N1185"/>
    </row>
    <row r="1186" spans="9:14" x14ac:dyDescent="0.25">
      <c r="I1186"/>
      <c r="J1186"/>
      <c r="K1186"/>
      <c r="L1186"/>
      <c r="M1186"/>
      <c r="N1186"/>
    </row>
    <row r="1187" spans="9:14" x14ac:dyDescent="0.25">
      <c r="I1187"/>
      <c r="J1187"/>
      <c r="K1187"/>
      <c r="L1187"/>
      <c r="M1187"/>
      <c r="N1187"/>
    </row>
    <row r="1188" spans="9:14" x14ac:dyDescent="0.25">
      <c r="I1188"/>
      <c r="J1188"/>
      <c r="K1188"/>
      <c r="L1188"/>
      <c r="M1188"/>
      <c r="N1188"/>
    </row>
    <row r="1189" spans="9:14" x14ac:dyDescent="0.25">
      <c r="I1189"/>
      <c r="J1189"/>
      <c r="K1189"/>
      <c r="L1189"/>
      <c r="M1189"/>
      <c r="N1189"/>
    </row>
    <row r="1190" spans="9:14" x14ac:dyDescent="0.25">
      <c r="I1190"/>
      <c r="J1190"/>
      <c r="K1190"/>
      <c r="L1190"/>
      <c r="M1190"/>
      <c r="N1190"/>
    </row>
    <row r="1191" spans="9:14" x14ac:dyDescent="0.25">
      <c r="I1191"/>
      <c r="J1191"/>
      <c r="K1191"/>
      <c r="L1191"/>
      <c r="M1191"/>
      <c r="N1191"/>
    </row>
    <row r="1192" spans="9:14" x14ac:dyDescent="0.25">
      <c r="I1192"/>
      <c r="J1192"/>
      <c r="K1192"/>
      <c r="L1192"/>
      <c r="M1192"/>
      <c r="N1192"/>
    </row>
    <row r="1193" spans="9:14" x14ac:dyDescent="0.25">
      <c r="I1193"/>
      <c r="J1193"/>
      <c r="K1193"/>
      <c r="L1193"/>
      <c r="M1193"/>
      <c r="N1193"/>
    </row>
    <row r="1194" spans="9:14" x14ac:dyDescent="0.25">
      <c r="I1194"/>
      <c r="J1194"/>
      <c r="K1194"/>
      <c r="L1194"/>
      <c r="M1194"/>
      <c r="N1194"/>
    </row>
    <row r="1195" spans="9:14" x14ac:dyDescent="0.25">
      <c r="I1195"/>
      <c r="J1195"/>
      <c r="K1195"/>
      <c r="L1195"/>
      <c r="M1195"/>
      <c r="N1195"/>
    </row>
    <row r="1196" spans="9:14" x14ac:dyDescent="0.25">
      <c r="I1196"/>
      <c r="J1196"/>
      <c r="K1196"/>
      <c r="L1196"/>
      <c r="M1196"/>
      <c r="N1196"/>
    </row>
    <row r="1197" spans="9:14" x14ac:dyDescent="0.25">
      <c r="I1197"/>
      <c r="J1197"/>
      <c r="K1197"/>
      <c r="L1197"/>
      <c r="M1197"/>
      <c r="N1197"/>
    </row>
    <row r="1198" spans="9:14" x14ac:dyDescent="0.25">
      <c r="I1198"/>
      <c r="J1198"/>
      <c r="K1198"/>
      <c r="L1198"/>
      <c r="M1198"/>
      <c r="N1198"/>
    </row>
    <row r="1199" spans="9:14" x14ac:dyDescent="0.25">
      <c r="I1199"/>
      <c r="J1199"/>
      <c r="K1199"/>
      <c r="L1199"/>
      <c r="M1199"/>
      <c r="N1199"/>
    </row>
    <row r="1200" spans="9:14" x14ac:dyDescent="0.25">
      <c r="I1200"/>
      <c r="J1200"/>
      <c r="K1200"/>
      <c r="L1200"/>
      <c r="M1200"/>
      <c r="N1200"/>
    </row>
    <row r="1201" spans="9:14" x14ac:dyDescent="0.25">
      <c r="I1201"/>
      <c r="J1201"/>
      <c r="K1201"/>
      <c r="L1201"/>
      <c r="M1201"/>
      <c r="N1201"/>
    </row>
    <row r="1202" spans="9:14" x14ac:dyDescent="0.25">
      <c r="I1202"/>
      <c r="J1202"/>
      <c r="K1202"/>
      <c r="L1202"/>
      <c r="M1202"/>
      <c r="N1202"/>
    </row>
    <row r="1203" spans="9:14" x14ac:dyDescent="0.25">
      <c r="I1203"/>
      <c r="J1203"/>
      <c r="K1203"/>
      <c r="L1203"/>
      <c r="M1203"/>
      <c r="N1203"/>
    </row>
    <row r="1204" spans="9:14" x14ac:dyDescent="0.25">
      <c r="I1204"/>
      <c r="J1204"/>
      <c r="K1204"/>
      <c r="L1204"/>
      <c r="M1204"/>
      <c r="N1204"/>
    </row>
    <row r="1205" spans="9:14" x14ac:dyDescent="0.25">
      <c r="I1205"/>
      <c r="J1205"/>
      <c r="K1205"/>
      <c r="L1205"/>
      <c r="M1205"/>
      <c r="N1205"/>
    </row>
    <row r="1206" spans="9:14" x14ac:dyDescent="0.25">
      <c r="I1206"/>
      <c r="J1206"/>
      <c r="K1206"/>
      <c r="L1206"/>
      <c r="M1206"/>
      <c r="N1206"/>
    </row>
    <row r="1207" spans="9:14" x14ac:dyDescent="0.25">
      <c r="I1207"/>
      <c r="J1207"/>
      <c r="K1207"/>
      <c r="L1207"/>
      <c r="M1207"/>
      <c r="N1207"/>
    </row>
    <row r="1208" spans="9:14" x14ac:dyDescent="0.25">
      <c r="I1208"/>
      <c r="J1208"/>
      <c r="K1208"/>
      <c r="L1208"/>
      <c r="M1208"/>
      <c r="N1208"/>
    </row>
    <row r="1209" spans="9:14" x14ac:dyDescent="0.25">
      <c r="I1209"/>
      <c r="J1209"/>
      <c r="K1209"/>
      <c r="L1209"/>
      <c r="M1209"/>
      <c r="N1209"/>
    </row>
    <row r="1210" spans="9:14" x14ac:dyDescent="0.25">
      <c r="I1210"/>
      <c r="J1210"/>
      <c r="K1210"/>
      <c r="L1210"/>
      <c r="M1210"/>
      <c r="N1210"/>
    </row>
    <row r="1211" spans="9:14" x14ac:dyDescent="0.25">
      <c r="I1211"/>
      <c r="J1211"/>
      <c r="K1211"/>
      <c r="L1211"/>
      <c r="M1211"/>
      <c r="N1211"/>
    </row>
    <row r="1212" spans="9:14" x14ac:dyDescent="0.25">
      <c r="I1212"/>
      <c r="J1212"/>
      <c r="K1212"/>
      <c r="L1212"/>
      <c r="M1212"/>
      <c r="N1212"/>
    </row>
    <row r="1213" spans="9:14" x14ac:dyDescent="0.25">
      <c r="I1213"/>
      <c r="J1213"/>
      <c r="K1213"/>
      <c r="L1213"/>
      <c r="M1213"/>
      <c r="N1213"/>
    </row>
    <row r="1214" spans="9:14" x14ac:dyDescent="0.25">
      <c r="I1214"/>
      <c r="J1214"/>
      <c r="K1214"/>
      <c r="L1214"/>
      <c r="M1214"/>
      <c r="N1214"/>
    </row>
    <row r="1215" spans="9:14" x14ac:dyDescent="0.25">
      <c r="I1215"/>
      <c r="J1215"/>
      <c r="K1215"/>
      <c r="L1215"/>
      <c r="M1215"/>
      <c r="N1215"/>
    </row>
    <row r="1216" spans="9:14" x14ac:dyDescent="0.25">
      <c r="I1216"/>
      <c r="J1216"/>
      <c r="K1216"/>
      <c r="L1216"/>
      <c r="M1216"/>
      <c r="N1216"/>
    </row>
    <row r="1217" spans="9:14" x14ac:dyDescent="0.25">
      <c r="I1217"/>
      <c r="J1217"/>
      <c r="K1217"/>
      <c r="L1217"/>
      <c r="M1217"/>
      <c r="N1217"/>
    </row>
    <row r="1218" spans="9:14" x14ac:dyDescent="0.25">
      <c r="I1218"/>
      <c r="J1218"/>
      <c r="K1218"/>
      <c r="L1218"/>
      <c r="M1218"/>
      <c r="N1218"/>
    </row>
    <row r="1219" spans="9:14" x14ac:dyDescent="0.25">
      <c r="I1219"/>
      <c r="J1219"/>
      <c r="K1219"/>
      <c r="L1219"/>
      <c r="M1219"/>
      <c r="N1219"/>
    </row>
    <row r="1220" spans="9:14" x14ac:dyDescent="0.25">
      <c r="I1220"/>
      <c r="J1220"/>
      <c r="K1220"/>
      <c r="L1220"/>
      <c r="M1220"/>
      <c r="N1220"/>
    </row>
    <row r="1221" spans="9:14" x14ac:dyDescent="0.25">
      <c r="I1221"/>
      <c r="J1221"/>
      <c r="K1221"/>
      <c r="L1221"/>
      <c r="M1221"/>
      <c r="N1221"/>
    </row>
    <row r="1222" spans="9:14" x14ac:dyDescent="0.25">
      <c r="I1222"/>
      <c r="J1222"/>
      <c r="K1222"/>
      <c r="L1222"/>
      <c r="M1222"/>
      <c r="N1222"/>
    </row>
    <row r="1223" spans="9:14" x14ac:dyDescent="0.25">
      <c r="I1223"/>
      <c r="J1223"/>
      <c r="K1223"/>
      <c r="L1223"/>
      <c r="M1223"/>
      <c r="N1223"/>
    </row>
    <row r="1224" spans="9:14" x14ac:dyDescent="0.25">
      <c r="I1224"/>
      <c r="J1224"/>
      <c r="K1224"/>
      <c r="L1224"/>
      <c r="M1224"/>
      <c r="N1224"/>
    </row>
    <row r="1225" spans="9:14" x14ac:dyDescent="0.25">
      <c r="I1225"/>
      <c r="J1225"/>
      <c r="K1225"/>
      <c r="L1225"/>
      <c r="M1225"/>
      <c r="N1225"/>
    </row>
    <row r="1226" spans="9:14" x14ac:dyDescent="0.25">
      <c r="I1226"/>
      <c r="J1226"/>
      <c r="K1226"/>
      <c r="L1226"/>
      <c r="M1226"/>
      <c r="N1226"/>
    </row>
    <row r="1227" spans="9:14" x14ac:dyDescent="0.25">
      <c r="I1227"/>
      <c r="J1227"/>
      <c r="K1227"/>
      <c r="L1227"/>
      <c r="M1227"/>
      <c r="N1227"/>
    </row>
    <row r="1228" spans="9:14" x14ac:dyDescent="0.25">
      <c r="I1228"/>
      <c r="J1228"/>
      <c r="K1228"/>
      <c r="L1228"/>
      <c r="M1228"/>
      <c r="N1228"/>
    </row>
    <row r="1229" spans="9:14" x14ac:dyDescent="0.25">
      <c r="I1229"/>
      <c r="J1229"/>
      <c r="K1229"/>
      <c r="L1229"/>
      <c r="M1229"/>
      <c r="N1229"/>
    </row>
    <row r="1230" spans="9:14" x14ac:dyDescent="0.25">
      <c r="I1230"/>
      <c r="J1230"/>
      <c r="K1230"/>
      <c r="L1230"/>
      <c r="M1230"/>
      <c r="N1230"/>
    </row>
    <row r="1231" spans="9:14" x14ac:dyDescent="0.25">
      <c r="I1231"/>
      <c r="J1231"/>
      <c r="K1231"/>
      <c r="L1231"/>
      <c r="M1231"/>
      <c r="N1231"/>
    </row>
    <row r="1232" spans="9:14" x14ac:dyDescent="0.25">
      <c r="I1232"/>
      <c r="J1232"/>
      <c r="K1232"/>
      <c r="L1232"/>
      <c r="M1232"/>
      <c r="N1232"/>
    </row>
    <row r="1233" spans="9:14" x14ac:dyDescent="0.25">
      <c r="I1233"/>
      <c r="J1233"/>
      <c r="K1233"/>
      <c r="L1233"/>
      <c r="M1233"/>
      <c r="N1233"/>
    </row>
    <row r="1234" spans="9:14" x14ac:dyDescent="0.25">
      <c r="I1234"/>
      <c r="J1234"/>
      <c r="K1234"/>
      <c r="L1234"/>
      <c r="M1234"/>
      <c r="N1234"/>
    </row>
    <row r="1235" spans="9:14" x14ac:dyDescent="0.25">
      <c r="I1235"/>
      <c r="J1235"/>
      <c r="K1235"/>
      <c r="L1235"/>
      <c r="M1235"/>
      <c r="N1235"/>
    </row>
    <row r="1236" spans="9:14" x14ac:dyDescent="0.25">
      <c r="I1236"/>
      <c r="J1236"/>
      <c r="K1236"/>
      <c r="L1236"/>
      <c r="M1236"/>
      <c r="N1236"/>
    </row>
    <row r="1237" spans="9:14" x14ac:dyDescent="0.25">
      <c r="I1237"/>
      <c r="J1237"/>
      <c r="K1237"/>
      <c r="L1237"/>
      <c r="M1237"/>
      <c r="N1237"/>
    </row>
    <row r="1238" spans="9:14" x14ac:dyDescent="0.25">
      <c r="I1238"/>
      <c r="J1238"/>
      <c r="K1238"/>
      <c r="L1238"/>
      <c r="M1238"/>
      <c r="N1238"/>
    </row>
    <row r="1239" spans="9:14" x14ac:dyDescent="0.25">
      <c r="I1239"/>
      <c r="J1239"/>
      <c r="K1239"/>
      <c r="L1239"/>
      <c r="M1239"/>
      <c r="N1239"/>
    </row>
    <row r="1240" spans="9:14" x14ac:dyDescent="0.25">
      <c r="I1240"/>
      <c r="J1240"/>
      <c r="K1240"/>
      <c r="L1240"/>
      <c r="M1240"/>
      <c r="N1240"/>
    </row>
    <row r="1241" spans="9:14" x14ac:dyDescent="0.25">
      <c r="I1241"/>
      <c r="J1241"/>
      <c r="K1241"/>
      <c r="L1241"/>
      <c r="M1241"/>
      <c r="N1241"/>
    </row>
    <row r="1242" spans="9:14" x14ac:dyDescent="0.25">
      <c r="I1242"/>
      <c r="J1242"/>
      <c r="K1242"/>
      <c r="L1242"/>
      <c r="M1242"/>
      <c r="N1242"/>
    </row>
    <row r="1243" spans="9:14" x14ac:dyDescent="0.25">
      <c r="I1243"/>
      <c r="J1243"/>
      <c r="K1243"/>
      <c r="L1243"/>
      <c r="M1243"/>
      <c r="N1243"/>
    </row>
    <row r="1244" spans="9:14" x14ac:dyDescent="0.25">
      <c r="I1244"/>
      <c r="J1244"/>
      <c r="K1244"/>
      <c r="L1244"/>
      <c r="M1244"/>
      <c r="N1244"/>
    </row>
    <row r="1245" spans="9:14" x14ac:dyDescent="0.25">
      <c r="I1245"/>
      <c r="J1245"/>
      <c r="K1245"/>
      <c r="L1245"/>
      <c r="M1245"/>
      <c r="N1245"/>
    </row>
    <row r="1246" spans="9:14" x14ac:dyDescent="0.25">
      <c r="I1246"/>
      <c r="J1246"/>
      <c r="K1246"/>
      <c r="L1246"/>
      <c r="M1246"/>
      <c r="N1246"/>
    </row>
    <row r="1247" spans="9:14" x14ac:dyDescent="0.25">
      <c r="I1247"/>
      <c r="J1247"/>
      <c r="K1247"/>
      <c r="L1247"/>
      <c r="M1247"/>
      <c r="N1247"/>
    </row>
    <row r="1248" spans="9:14" x14ac:dyDescent="0.25">
      <c r="I1248"/>
      <c r="J1248"/>
      <c r="K1248"/>
      <c r="L1248"/>
      <c r="M1248"/>
      <c r="N1248"/>
    </row>
    <row r="1249" spans="9:14" x14ac:dyDescent="0.25">
      <c r="I1249"/>
      <c r="J1249"/>
      <c r="K1249"/>
      <c r="L1249"/>
      <c r="M1249"/>
      <c r="N1249"/>
    </row>
    <row r="1250" spans="9:14" x14ac:dyDescent="0.25">
      <c r="I1250"/>
      <c r="J1250"/>
      <c r="K1250"/>
      <c r="L1250"/>
      <c r="M1250"/>
      <c r="N1250"/>
    </row>
    <row r="1251" spans="9:14" x14ac:dyDescent="0.25">
      <c r="I1251"/>
      <c r="J1251"/>
      <c r="K1251"/>
      <c r="L1251"/>
      <c r="M1251"/>
      <c r="N1251"/>
    </row>
    <row r="1252" spans="9:14" x14ac:dyDescent="0.25">
      <c r="I1252"/>
      <c r="J1252"/>
      <c r="K1252"/>
      <c r="L1252"/>
      <c r="M1252"/>
      <c r="N1252"/>
    </row>
    <row r="1253" spans="9:14" x14ac:dyDescent="0.25">
      <c r="I1253"/>
      <c r="J1253"/>
      <c r="K1253"/>
      <c r="L1253"/>
      <c r="M1253"/>
      <c r="N1253"/>
    </row>
    <row r="1254" spans="9:14" x14ac:dyDescent="0.25">
      <c r="I1254"/>
      <c r="J1254"/>
      <c r="K1254"/>
      <c r="L1254"/>
      <c r="M1254"/>
      <c r="N1254"/>
    </row>
    <row r="1255" spans="9:14" x14ac:dyDescent="0.25">
      <c r="I1255"/>
      <c r="J1255"/>
      <c r="K1255"/>
      <c r="L1255"/>
      <c r="M1255"/>
      <c r="N1255"/>
    </row>
    <row r="1256" spans="9:14" x14ac:dyDescent="0.25">
      <c r="I1256"/>
      <c r="J1256"/>
      <c r="K1256"/>
      <c r="L1256"/>
      <c r="M1256"/>
      <c r="N1256"/>
    </row>
    <row r="1257" spans="9:14" x14ac:dyDescent="0.25">
      <c r="I1257"/>
      <c r="J1257"/>
      <c r="K1257"/>
      <c r="L1257"/>
      <c r="M1257"/>
      <c r="N1257"/>
    </row>
    <row r="1258" spans="9:14" x14ac:dyDescent="0.25">
      <c r="I1258"/>
      <c r="J1258"/>
      <c r="K1258"/>
      <c r="L1258"/>
      <c r="M1258"/>
      <c r="N1258"/>
    </row>
    <row r="1259" spans="9:14" x14ac:dyDescent="0.25">
      <c r="I1259"/>
      <c r="J1259"/>
      <c r="K1259"/>
      <c r="L1259"/>
      <c r="M1259"/>
      <c r="N1259"/>
    </row>
    <row r="1260" spans="9:14" x14ac:dyDescent="0.25">
      <c r="I1260"/>
      <c r="J1260"/>
      <c r="K1260"/>
      <c r="L1260"/>
      <c r="M1260"/>
      <c r="N1260"/>
    </row>
    <row r="1261" spans="9:14" x14ac:dyDescent="0.25">
      <c r="I1261"/>
      <c r="J1261"/>
      <c r="K1261"/>
      <c r="L1261"/>
      <c r="M1261"/>
      <c r="N1261"/>
    </row>
    <row r="1262" spans="9:14" x14ac:dyDescent="0.25">
      <c r="I1262"/>
      <c r="J1262"/>
      <c r="K1262"/>
      <c r="L1262"/>
      <c r="M1262"/>
      <c r="N1262"/>
    </row>
    <row r="1263" spans="9:14" x14ac:dyDescent="0.25">
      <c r="I1263"/>
      <c r="J1263"/>
      <c r="K1263"/>
      <c r="L1263"/>
      <c r="M1263"/>
      <c r="N1263"/>
    </row>
    <row r="1264" spans="9:14" x14ac:dyDescent="0.25">
      <c r="I1264"/>
      <c r="J1264"/>
      <c r="K1264"/>
      <c r="L1264"/>
      <c r="M1264"/>
      <c r="N1264"/>
    </row>
    <row r="1265" spans="9:14" x14ac:dyDescent="0.25">
      <c r="I1265"/>
      <c r="J1265"/>
      <c r="K1265"/>
      <c r="L1265"/>
      <c r="M1265"/>
      <c r="N1265"/>
    </row>
    <row r="1266" spans="9:14" x14ac:dyDescent="0.25">
      <c r="I1266"/>
      <c r="J1266"/>
      <c r="K1266"/>
      <c r="L1266"/>
      <c r="M1266"/>
      <c r="N1266"/>
    </row>
    <row r="1267" spans="9:14" x14ac:dyDescent="0.25">
      <c r="I1267"/>
      <c r="J1267"/>
      <c r="K1267"/>
      <c r="L1267"/>
      <c r="M1267"/>
      <c r="N1267"/>
    </row>
    <row r="1268" spans="9:14" x14ac:dyDescent="0.25">
      <c r="I1268"/>
      <c r="J1268"/>
      <c r="K1268"/>
      <c r="L1268"/>
      <c r="M1268"/>
      <c r="N1268"/>
    </row>
    <row r="1269" spans="9:14" x14ac:dyDescent="0.25">
      <c r="I1269"/>
      <c r="J1269"/>
      <c r="K1269"/>
      <c r="L1269"/>
      <c r="M1269"/>
      <c r="N1269"/>
    </row>
    <row r="1270" spans="9:14" x14ac:dyDescent="0.25">
      <c r="I1270"/>
      <c r="J1270"/>
      <c r="K1270"/>
      <c r="L1270"/>
      <c r="M1270"/>
      <c r="N1270"/>
    </row>
    <row r="1271" spans="9:14" x14ac:dyDescent="0.25">
      <c r="I1271"/>
      <c r="J1271"/>
      <c r="K1271"/>
      <c r="L1271"/>
      <c r="M1271"/>
      <c r="N1271"/>
    </row>
    <row r="1272" spans="9:14" x14ac:dyDescent="0.25">
      <c r="I1272"/>
      <c r="J1272"/>
      <c r="K1272"/>
      <c r="L1272"/>
      <c r="M1272"/>
      <c r="N1272"/>
    </row>
    <row r="1273" spans="9:14" x14ac:dyDescent="0.25">
      <c r="I1273"/>
      <c r="J1273"/>
      <c r="K1273"/>
      <c r="L1273"/>
      <c r="M1273"/>
      <c r="N1273"/>
    </row>
    <row r="1274" spans="9:14" x14ac:dyDescent="0.25">
      <c r="I1274"/>
      <c r="J1274"/>
      <c r="K1274"/>
      <c r="L1274"/>
      <c r="M1274"/>
      <c r="N1274"/>
    </row>
    <row r="1275" spans="9:14" x14ac:dyDescent="0.25">
      <c r="I1275"/>
      <c r="J1275"/>
      <c r="K1275"/>
      <c r="L1275"/>
      <c r="M1275"/>
      <c r="N1275"/>
    </row>
    <row r="1276" spans="9:14" x14ac:dyDescent="0.25">
      <c r="I1276"/>
      <c r="J1276"/>
      <c r="K1276"/>
      <c r="L1276"/>
      <c r="M1276"/>
      <c r="N1276"/>
    </row>
    <row r="1277" spans="9:14" x14ac:dyDescent="0.25">
      <c r="I1277"/>
      <c r="J1277"/>
      <c r="K1277"/>
      <c r="L1277"/>
      <c r="M1277"/>
      <c r="N1277"/>
    </row>
    <row r="1278" spans="9:14" x14ac:dyDescent="0.25">
      <c r="I1278"/>
      <c r="J1278"/>
      <c r="K1278"/>
      <c r="L1278"/>
      <c r="M1278"/>
      <c r="N1278"/>
    </row>
    <row r="1279" spans="9:14" x14ac:dyDescent="0.25">
      <c r="I1279"/>
      <c r="J1279"/>
      <c r="K1279"/>
      <c r="L1279"/>
      <c r="M1279"/>
      <c r="N1279"/>
    </row>
    <row r="1280" spans="9:14" x14ac:dyDescent="0.25">
      <c r="I1280"/>
      <c r="J1280"/>
      <c r="K1280"/>
      <c r="L1280"/>
      <c r="M1280"/>
      <c r="N1280"/>
    </row>
    <row r="1281" spans="9:14" x14ac:dyDescent="0.25">
      <c r="I1281"/>
      <c r="J1281"/>
      <c r="K1281"/>
      <c r="L1281"/>
      <c r="M1281"/>
      <c r="N1281"/>
    </row>
    <row r="1282" spans="9:14" x14ac:dyDescent="0.25">
      <c r="I1282"/>
      <c r="J1282"/>
      <c r="K1282"/>
      <c r="L1282"/>
      <c r="M1282"/>
      <c r="N1282"/>
    </row>
    <row r="1283" spans="9:14" x14ac:dyDescent="0.25">
      <c r="I1283"/>
      <c r="J1283"/>
      <c r="K1283"/>
      <c r="L1283"/>
      <c r="M1283"/>
      <c r="N1283"/>
    </row>
    <row r="1284" spans="9:14" x14ac:dyDescent="0.25">
      <c r="I1284"/>
      <c r="J1284"/>
      <c r="K1284"/>
      <c r="L1284"/>
      <c r="M1284"/>
      <c r="N1284"/>
    </row>
    <row r="1285" spans="9:14" x14ac:dyDescent="0.25">
      <c r="I1285"/>
      <c r="J1285"/>
      <c r="K1285"/>
      <c r="L1285"/>
      <c r="M1285"/>
      <c r="N1285"/>
    </row>
    <row r="1286" spans="9:14" x14ac:dyDescent="0.25">
      <c r="I1286"/>
      <c r="J1286"/>
      <c r="K1286"/>
      <c r="L1286"/>
      <c r="M1286"/>
      <c r="N1286"/>
    </row>
    <row r="1287" spans="9:14" x14ac:dyDescent="0.25">
      <c r="I1287"/>
      <c r="J1287"/>
      <c r="K1287"/>
      <c r="L1287"/>
      <c r="M1287"/>
      <c r="N1287"/>
    </row>
    <row r="1288" spans="9:14" x14ac:dyDescent="0.25">
      <c r="I1288"/>
      <c r="J1288"/>
      <c r="K1288"/>
      <c r="L1288"/>
      <c r="M1288"/>
      <c r="N1288"/>
    </row>
    <row r="1289" spans="9:14" x14ac:dyDescent="0.25">
      <c r="I1289"/>
      <c r="J1289"/>
      <c r="K1289"/>
      <c r="L1289"/>
      <c r="M1289"/>
      <c r="N1289"/>
    </row>
    <row r="1290" spans="9:14" x14ac:dyDescent="0.25">
      <c r="I1290"/>
      <c r="J1290"/>
      <c r="K1290"/>
      <c r="L1290"/>
      <c r="M1290"/>
      <c r="N1290"/>
    </row>
    <row r="1291" spans="9:14" x14ac:dyDescent="0.25">
      <c r="I1291"/>
      <c r="J1291"/>
      <c r="K1291"/>
      <c r="L1291"/>
      <c r="M1291"/>
      <c r="N1291"/>
    </row>
    <row r="1292" spans="9:14" x14ac:dyDescent="0.25">
      <c r="I1292"/>
      <c r="J1292"/>
      <c r="K1292"/>
      <c r="L1292"/>
      <c r="M1292"/>
      <c r="N1292"/>
    </row>
    <row r="1293" spans="9:14" x14ac:dyDescent="0.25">
      <c r="I1293"/>
      <c r="J1293"/>
      <c r="K1293"/>
      <c r="L1293"/>
      <c r="M1293"/>
      <c r="N1293"/>
    </row>
    <row r="1294" spans="9:14" x14ac:dyDescent="0.25">
      <c r="I1294"/>
      <c r="J1294"/>
      <c r="K1294"/>
      <c r="L1294"/>
      <c r="M1294"/>
      <c r="N1294"/>
    </row>
    <row r="1295" spans="9:14" x14ac:dyDescent="0.25">
      <c r="I1295"/>
      <c r="J1295"/>
      <c r="K1295"/>
      <c r="L1295"/>
      <c r="M1295"/>
      <c r="N1295"/>
    </row>
    <row r="1296" spans="9:14" x14ac:dyDescent="0.25">
      <c r="I1296"/>
      <c r="J1296"/>
      <c r="K1296"/>
      <c r="L1296"/>
      <c r="M1296"/>
      <c r="N1296"/>
    </row>
    <row r="1297" spans="9:14" x14ac:dyDescent="0.25">
      <c r="I1297"/>
      <c r="J1297"/>
      <c r="K1297"/>
      <c r="L1297"/>
      <c r="M1297"/>
      <c r="N1297"/>
    </row>
    <row r="1298" spans="9:14" x14ac:dyDescent="0.25">
      <c r="I1298"/>
      <c r="J1298"/>
      <c r="K1298"/>
      <c r="L1298"/>
      <c r="M1298"/>
      <c r="N1298"/>
    </row>
    <row r="1299" spans="9:14" x14ac:dyDescent="0.25">
      <c r="I1299"/>
      <c r="J1299"/>
      <c r="K1299"/>
      <c r="L1299"/>
      <c r="M1299"/>
      <c r="N1299"/>
    </row>
    <row r="1300" spans="9:14" x14ac:dyDescent="0.25">
      <c r="I1300"/>
      <c r="J1300"/>
      <c r="K1300"/>
      <c r="L1300"/>
      <c r="M1300"/>
      <c r="N1300"/>
    </row>
    <row r="1301" spans="9:14" x14ac:dyDescent="0.25">
      <c r="I1301"/>
      <c r="J1301"/>
      <c r="K1301"/>
      <c r="L1301"/>
      <c r="M1301"/>
      <c r="N1301"/>
    </row>
    <row r="1302" spans="9:14" x14ac:dyDescent="0.25">
      <c r="I1302"/>
      <c r="J1302"/>
      <c r="K1302"/>
      <c r="L1302"/>
      <c r="M1302"/>
      <c r="N1302"/>
    </row>
    <row r="1303" spans="9:14" x14ac:dyDescent="0.25">
      <c r="I1303"/>
      <c r="J1303"/>
      <c r="K1303"/>
      <c r="L1303"/>
      <c r="M1303"/>
      <c r="N1303"/>
    </row>
    <row r="1304" spans="9:14" x14ac:dyDescent="0.25">
      <c r="I1304"/>
      <c r="J1304"/>
      <c r="K1304"/>
      <c r="L1304"/>
      <c r="M1304"/>
      <c r="N1304"/>
    </row>
    <row r="1305" spans="9:14" x14ac:dyDescent="0.25">
      <c r="I1305"/>
      <c r="J1305"/>
      <c r="K1305"/>
      <c r="L1305"/>
      <c r="M1305"/>
      <c r="N1305"/>
    </row>
    <row r="1306" spans="9:14" x14ac:dyDescent="0.25">
      <c r="I1306"/>
      <c r="J1306"/>
      <c r="K1306"/>
      <c r="L1306"/>
      <c r="M1306"/>
      <c r="N1306"/>
    </row>
    <row r="1307" spans="9:14" x14ac:dyDescent="0.25">
      <c r="I1307"/>
      <c r="J1307"/>
      <c r="K1307"/>
      <c r="L1307"/>
      <c r="M1307"/>
      <c r="N1307"/>
    </row>
    <row r="1308" spans="9:14" x14ac:dyDescent="0.25">
      <c r="I1308"/>
      <c r="J1308"/>
      <c r="K1308"/>
      <c r="L1308"/>
      <c r="M1308"/>
      <c r="N1308"/>
    </row>
    <row r="1309" spans="9:14" x14ac:dyDescent="0.25">
      <c r="I1309"/>
      <c r="J1309"/>
      <c r="K1309"/>
      <c r="L1309"/>
      <c r="M1309"/>
      <c r="N1309"/>
    </row>
    <row r="1310" spans="9:14" x14ac:dyDescent="0.25">
      <c r="I1310"/>
      <c r="J1310"/>
      <c r="K1310"/>
      <c r="L1310"/>
      <c r="M1310"/>
      <c r="N1310"/>
    </row>
    <row r="1311" spans="9:14" x14ac:dyDescent="0.25">
      <c r="I1311"/>
      <c r="J1311"/>
      <c r="K1311"/>
      <c r="L1311"/>
      <c r="M1311"/>
      <c r="N1311"/>
    </row>
    <row r="1312" spans="9:14" x14ac:dyDescent="0.25">
      <c r="I1312"/>
      <c r="J1312"/>
      <c r="K1312"/>
      <c r="L1312"/>
      <c r="M1312"/>
      <c r="N1312"/>
    </row>
    <row r="1313" spans="9:14" x14ac:dyDescent="0.25">
      <c r="I1313"/>
      <c r="J1313"/>
      <c r="K1313"/>
      <c r="L1313"/>
      <c r="M1313"/>
      <c r="N1313"/>
    </row>
    <row r="1314" spans="9:14" x14ac:dyDescent="0.25">
      <c r="I1314"/>
      <c r="J1314"/>
      <c r="K1314"/>
      <c r="L1314"/>
      <c r="M1314"/>
      <c r="N1314"/>
    </row>
    <row r="1315" spans="9:14" x14ac:dyDescent="0.25">
      <c r="I1315"/>
      <c r="J1315"/>
      <c r="K1315"/>
      <c r="L1315"/>
      <c r="M1315"/>
      <c r="N1315"/>
    </row>
    <row r="1316" spans="9:14" x14ac:dyDescent="0.25">
      <c r="I1316"/>
      <c r="J1316"/>
      <c r="K1316"/>
      <c r="L1316"/>
      <c r="M1316"/>
      <c r="N1316"/>
    </row>
    <row r="1317" spans="9:14" x14ac:dyDescent="0.25">
      <c r="I1317"/>
      <c r="J1317"/>
      <c r="K1317"/>
      <c r="L1317"/>
      <c r="M1317"/>
      <c r="N1317"/>
    </row>
    <row r="1318" spans="9:14" x14ac:dyDescent="0.25">
      <c r="I1318"/>
      <c r="J1318"/>
      <c r="K1318"/>
      <c r="L1318"/>
      <c r="M1318"/>
      <c r="N1318"/>
    </row>
    <row r="1319" spans="9:14" x14ac:dyDescent="0.25">
      <c r="I1319"/>
      <c r="J1319"/>
      <c r="K1319"/>
      <c r="L1319"/>
      <c r="M1319"/>
      <c r="N1319"/>
    </row>
    <row r="1320" spans="9:14" x14ac:dyDescent="0.25">
      <c r="I1320"/>
      <c r="J1320"/>
      <c r="K1320"/>
      <c r="L1320"/>
      <c r="M1320"/>
      <c r="N1320"/>
    </row>
    <row r="1321" spans="9:14" x14ac:dyDescent="0.25">
      <c r="I1321"/>
      <c r="J1321"/>
      <c r="K1321"/>
      <c r="L1321"/>
      <c r="M1321"/>
      <c r="N1321"/>
    </row>
    <row r="1322" spans="9:14" x14ac:dyDescent="0.25">
      <c r="I1322"/>
      <c r="J1322"/>
      <c r="K1322"/>
      <c r="L1322"/>
      <c r="M1322"/>
      <c r="N1322"/>
    </row>
    <row r="1323" spans="9:14" x14ac:dyDescent="0.25">
      <c r="I1323"/>
      <c r="J1323"/>
      <c r="K1323"/>
      <c r="L1323"/>
      <c r="M1323"/>
      <c r="N1323"/>
    </row>
    <row r="1324" spans="9:14" x14ac:dyDescent="0.25">
      <c r="I1324"/>
      <c r="J1324"/>
      <c r="K1324"/>
      <c r="L1324"/>
      <c r="M1324"/>
      <c r="N1324"/>
    </row>
    <row r="1325" spans="9:14" x14ac:dyDescent="0.25">
      <c r="I1325"/>
      <c r="J1325"/>
      <c r="K1325"/>
      <c r="L1325"/>
      <c r="M1325"/>
      <c r="N1325"/>
    </row>
    <row r="1326" spans="9:14" x14ac:dyDescent="0.25">
      <c r="I1326"/>
      <c r="J1326"/>
      <c r="K1326"/>
      <c r="L1326"/>
      <c r="M1326"/>
      <c r="N1326"/>
    </row>
    <row r="1327" spans="9:14" x14ac:dyDescent="0.25">
      <c r="I1327"/>
      <c r="J1327"/>
      <c r="K1327"/>
      <c r="L1327"/>
      <c r="M1327"/>
      <c r="N1327"/>
    </row>
    <row r="1328" spans="9:14" x14ac:dyDescent="0.25">
      <c r="I1328"/>
      <c r="J1328"/>
      <c r="K1328"/>
      <c r="L1328"/>
      <c r="M1328"/>
      <c r="N1328"/>
    </row>
    <row r="1329" spans="9:14" x14ac:dyDescent="0.25">
      <c r="I1329"/>
      <c r="J1329"/>
      <c r="K1329"/>
      <c r="L1329"/>
      <c r="M1329"/>
      <c r="N1329"/>
    </row>
    <row r="1330" spans="9:14" x14ac:dyDescent="0.25">
      <c r="I1330"/>
      <c r="J1330"/>
      <c r="K1330"/>
      <c r="L1330"/>
      <c r="M1330"/>
      <c r="N1330"/>
    </row>
    <row r="1331" spans="9:14" x14ac:dyDescent="0.25">
      <c r="I1331"/>
      <c r="J1331"/>
      <c r="K1331"/>
      <c r="L1331"/>
      <c r="M1331"/>
      <c r="N1331"/>
    </row>
    <row r="1332" spans="9:14" x14ac:dyDescent="0.25">
      <c r="I1332"/>
      <c r="J1332"/>
      <c r="K1332"/>
      <c r="L1332"/>
      <c r="M1332"/>
      <c r="N1332"/>
    </row>
    <row r="1333" spans="9:14" x14ac:dyDescent="0.25">
      <c r="I1333"/>
      <c r="J1333"/>
      <c r="K1333"/>
      <c r="L1333"/>
      <c r="M1333"/>
      <c r="N1333"/>
    </row>
    <row r="1334" spans="9:14" x14ac:dyDescent="0.25">
      <c r="I1334"/>
      <c r="J1334"/>
      <c r="K1334"/>
      <c r="L1334"/>
      <c r="M1334"/>
      <c r="N1334"/>
    </row>
    <row r="1335" spans="9:14" x14ac:dyDescent="0.25">
      <c r="I1335"/>
      <c r="J1335"/>
      <c r="K1335"/>
      <c r="L1335"/>
      <c r="M1335"/>
      <c r="N1335"/>
    </row>
    <row r="1336" spans="9:14" x14ac:dyDescent="0.25">
      <c r="I1336"/>
      <c r="J1336"/>
      <c r="K1336"/>
      <c r="L1336"/>
      <c r="M1336"/>
      <c r="N1336"/>
    </row>
    <row r="1337" spans="9:14" x14ac:dyDescent="0.25">
      <c r="I1337"/>
      <c r="J1337"/>
      <c r="K1337"/>
      <c r="L1337"/>
      <c r="M1337"/>
      <c r="N1337"/>
    </row>
    <row r="1338" spans="9:14" x14ac:dyDescent="0.25">
      <c r="I1338"/>
      <c r="J1338"/>
      <c r="K1338"/>
      <c r="L1338"/>
      <c r="M1338"/>
      <c r="N1338"/>
    </row>
    <row r="1339" spans="9:14" x14ac:dyDescent="0.25">
      <c r="I1339"/>
      <c r="J1339"/>
      <c r="K1339"/>
      <c r="L1339"/>
      <c r="M1339"/>
      <c r="N1339"/>
    </row>
    <row r="1340" spans="9:14" x14ac:dyDescent="0.25">
      <c r="I1340"/>
      <c r="J1340"/>
      <c r="K1340"/>
      <c r="L1340"/>
      <c r="M1340"/>
      <c r="N1340"/>
    </row>
    <row r="1341" spans="9:14" x14ac:dyDescent="0.25">
      <c r="I1341"/>
      <c r="J1341"/>
      <c r="K1341"/>
      <c r="L1341"/>
      <c r="M1341"/>
      <c r="N1341"/>
    </row>
    <row r="1342" spans="9:14" x14ac:dyDescent="0.25">
      <c r="I1342"/>
      <c r="J1342"/>
      <c r="K1342"/>
      <c r="L1342"/>
      <c r="M1342"/>
      <c r="N1342"/>
    </row>
    <row r="1343" spans="9:14" x14ac:dyDescent="0.25">
      <c r="I1343"/>
      <c r="J1343"/>
      <c r="K1343"/>
      <c r="L1343"/>
      <c r="M1343"/>
      <c r="N1343"/>
    </row>
    <row r="1344" spans="9:14" x14ac:dyDescent="0.25">
      <c r="I1344"/>
      <c r="J1344"/>
      <c r="K1344"/>
      <c r="L1344"/>
      <c r="M1344"/>
      <c r="N1344"/>
    </row>
    <row r="1345" spans="9:14" x14ac:dyDescent="0.25">
      <c r="I1345"/>
      <c r="J1345"/>
      <c r="K1345"/>
      <c r="L1345"/>
      <c r="M1345"/>
      <c r="N1345"/>
    </row>
    <row r="1346" spans="9:14" x14ac:dyDescent="0.25">
      <c r="I1346"/>
      <c r="J1346"/>
      <c r="K1346"/>
      <c r="L1346"/>
      <c r="M1346"/>
      <c r="N1346"/>
    </row>
    <row r="1347" spans="9:14" x14ac:dyDescent="0.25">
      <c r="I1347"/>
      <c r="J1347"/>
      <c r="K1347"/>
      <c r="L1347"/>
      <c r="M1347"/>
      <c r="N1347"/>
    </row>
    <row r="1348" spans="9:14" x14ac:dyDescent="0.25">
      <c r="I1348"/>
      <c r="J1348"/>
      <c r="K1348"/>
      <c r="L1348"/>
      <c r="M1348"/>
      <c r="N1348"/>
    </row>
    <row r="1349" spans="9:14" x14ac:dyDescent="0.25">
      <c r="I1349"/>
      <c r="J1349"/>
      <c r="K1349"/>
      <c r="L1349"/>
      <c r="M1349"/>
      <c r="N1349"/>
    </row>
    <row r="1350" spans="9:14" x14ac:dyDescent="0.25">
      <c r="I1350"/>
      <c r="J1350"/>
      <c r="K1350"/>
      <c r="L1350"/>
      <c r="M1350"/>
      <c r="N1350"/>
    </row>
    <row r="1351" spans="9:14" x14ac:dyDescent="0.25">
      <c r="I1351"/>
      <c r="J1351"/>
      <c r="K1351"/>
      <c r="L1351"/>
      <c r="M1351"/>
      <c r="N1351"/>
    </row>
    <row r="1352" spans="9:14" x14ac:dyDescent="0.25">
      <c r="I1352"/>
      <c r="J1352"/>
      <c r="K1352"/>
      <c r="L1352"/>
      <c r="M1352"/>
      <c r="N1352"/>
    </row>
    <row r="1353" spans="9:14" x14ac:dyDescent="0.25">
      <c r="I1353"/>
      <c r="J1353"/>
      <c r="K1353"/>
      <c r="L1353"/>
      <c r="M1353"/>
      <c r="N1353"/>
    </row>
    <row r="1354" spans="9:14" x14ac:dyDescent="0.25">
      <c r="I1354"/>
      <c r="J1354"/>
      <c r="K1354"/>
      <c r="L1354"/>
      <c r="M1354"/>
      <c r="N1354"/>
    </row>
    <row r="1355" spans="9:14" x14ac:dyDescent="0.25">
      <c r="I1355"/>
      <c r="J1355"/>
      <c r="K1355"/>
      <c r="L1355"/>
      <c r="M1355"/>
      <c r="N1355"/>
    </row>
    <row r="1356" spans="9:14" x14ac:dyDescent="0.25">
      <c r="I1356"/>
      <c r="J1356"/>
      <c r="K1356"/>
      <c r="L1356"/>
      <c r="M1356"/>
      <c r="N1356"/>
    </row>
    <row r="1357" spans="9:14" x14ac:dyDescent="0.25">
      <c r="I1357"/>
      <c r="J1357"/>
      <c r="K1357"/>
      <c r="L1357"/>
      <c r="M1357"/>
      <c r="N1357"/>
    </row>
    <row r="1358" spans="9:14" x14ac:dyDescent="0.25">
      <c r="I1358"/>
      <c r="J1358"/>
      <c r="K1358"/>
      <c r="L1358"/>
      <c r="M1358"/>
      <c r="N1358"/>
    </row>
    <row r="1359" spans="9:14" x14ac:dyDescent="0.25">
      <c r="I1359"/>
      <c r="J1359"/>
      <c r="K1359"/>
      <c r="L1359"/>
      <c r="M1359"/>
      <c r="N1359"/>
    </row>
    <row r="1360" spans="9:14" x14ac:dyDescent="0.25">
      <c r="I1360"/>
      <c r="J1360"/>
      <c r="K1360"/>
      <c r="L1360"/>
      <c r="M1360"/>
      <c r="N1360"/>
    </row>
    <row r="1361" spans="9:14" x14ac:dyDescent="0.25">
      <c r="I1361"/>
      <c r="J1361"/>
      <c r="K1361"/>
      <c r="L1361"/>
      <c r="M1361"/>
      <c r="N1361"/>
    </row>
    <row r="1362" spans="9:14" x14ac:dyDescent="0.25">
      <c r="I1362"/>
      <c r="J1362"/>
      <c r="K1362"/>
      <c r="L1362"/>
      <c r="M1362"/>
      <c r="N1362"/>
    </row>
    <row r="1363" spans="9:14" x14ac:dyDescent="0.25">
      <c r="I1363"/>
      <c r="J1363"/>
      <c r="K1363"/>
      <c r="L1363"/>
      <c r="M1363"/>
      <c r="N1363"/>
    </row>
    <row r="1364" spans="9:14" x14ac:dyDescent="0.25">
      <c r="I1364"/>
      <c r="J1364"/>
      <c r="K1364"/>
      <c r="L1364"/>
      <c r="M1364"/>
      <c r="N1364"/>
    </row>
    <row r="1365" spans="9:14" x14ac:dyDescent="0.25">
      <c r="I1365"/>
      <c r="J1365"/>
      <c r="K1365"/>
      <c r="L1365"/>
      <c r="M1365"/>
      <c r="N1365"/>
    </row>
    <row r="1366" spans="9:14" x14ac:dyDescent="0.25">
      <c r="I1366"/>
      <c r="J1366"/>
      <c r="K1366"/>
      <c r="L1366"/>
      <c r="M1366"/>
      <c r="N1366"/>
    </row>
    <row r="1367" spans="9:14" x14ac:dyDescent="0.25">
      <c r="I1367"/>
      <c r="J1367"/>
      <c r="K1367"/>
      <c r="L1367"/>
      <c r="M1367"/>
      <c r="N1367"/>
    </row>
    <row r="1368" spans="9:14" x14ac:dyDescent="0.25">
      <c r="I1368"/>
      <c r="J1368"/>
      <c r="K1368"/>
      <c r="L1368"/>
      <c r="M1368"/>
      <c r="N1368"/>
    </row>
    <row r="1369" spans="9:14" x14ac:dyDescent="0.25">
      <c r="I1369"/>
      <c r="J1369"/>
      <c r="K1369"/>
      <c r="L1369"/>
      <c r="M1369"/>
      <c r="N1369"/>
    </row>
    <row r="1370" spans="9:14" x14ac:dyDescent="0.25">
      <c r="I1370"/>
      <c r="J1370"/>
      <c r="K1370"/>
      <c r="L1370"/>
      <c r="M1370"/>
      <c r="N1370"/>
    </row>
    <row r="1371" spans="9:14" x14ac:dyDescent="0.25">
      <c r="I1371"/>
      <c r="J1371"/>
      <c r="K1371"/>
      <c r="L1371"/>
      <c r="M1371"/>
      <c r="N1371"/>
    </row>
    <row r="1372" spans="9:14" x14ac:dyDescent="0.25">
      <c r="I1372"/>
      <c r="J1372"/>
      <c r="K1372"/>
      <c r="L1372"/>
      <c r="M1372"/>
      <c r="N1372"/>
    </row>
    <row r="1373" spans="9:14" x14ac:dyDescent="0.25">
      <c r="I1373"/>
      <c r="J1373"/>
      <c r="K1373"/>
      <c r="L1373"/>
      <c r="M1373"/>
      <c r="N1373"/>
    </row>
    <row r="1374" spans="9:14" x14ac:dyDescent="0.25">
      <c r="I1374"/>
      <c r="J1374"/>
      <c r="K1374"/>
      <c r="L1374"/>
      <c r="M1374"/>
      <c r="N1374"/>
    </row>
    <row r="1375" spans="9:14" x14ac:dyDescent="0.25">
      <c r="I1375"/>
      <c r="J1375"/>
      <c r="K1375"/>
      <c r="L1375"/>
      <c r="M1375"/>
      <c r="N1375"/>
    </row>
    <row r="1376" spans="9:14" x14ac:dyDescent="0.25">
      <c r="I1376"/>
      <c r="J1376"/>
      <c r="K1376"/>
      <c r="L1376"/>
      <c r="M1376"/>
      <c r="N1376"/>
    </row>
    <row r="1377" spans="9:14" x14ac:dyDescent="0.25">
      <c r="I1377"/>
      <c r="J1377"/>
      <c r="K1377"/>
      <c r="L1377"/>
      <c r="M1377"/>
      <c r="N1377"/>
    </row>
    <row r="1378" spans="9:14" x14ac:dyDescent="0.25">
      <c r="I1378"/>
      <c r="J1378"/>
      <c r="K1378"/>
      <c r="L1378"/>
      <c r="M1378"/>
      <c r="N1378"/>
    </row>
    <row r="1379" spans="9:14" x14ac:dyDescent="0.25">
      <c r="I1379"/>
      <c r="J1379"/>
      <c r="K1379"/>
      <c r="L1379"/>
      <c r="M1379"/>
      <c r="N1379"/>
    </row>
    <row r="1380" spans="9:14" x14ac:dyDescent="0.25">
      <c r="I1380"/>
      <c r="J1380"/>
      <c r="K1380"/>
      <c r="L1380"/>
      <c r="M1380"/>
      <c r="N1380"/>
    </row>
    <row r="1381" spans="9:14" x14ac:dyDescent="0.25">
      <c r="I1381"/>
      <c r="J1381"/>
      <c r="K1381"/>
      <c r="L1381"/>
      <c r="M1381"/>
      <c r="N1381"/>
    </row>
    <row r="1382" spans="9:14" x14ac:dyDescent="0.25">
      <c r="I1382"/>
      <c r="J1382"/>
      <c r="K1382"/>
      <c r="L1382"/>
      <c r="M1382"/>
      <c r="N1382"/>
    </row>
    <row r="1383" spans="9:14" x14ac:dyDescent="0.25">
      <c r="I1383"/>
      <c r="J1383"/>
      <c r="K1383"/>
      <c r="L1383"/>
      <c r="M1383"/>
      <c r="N1383"/>
    </row>
    <row r="1384" spans="9:14" x14ac:dyDescent="0.25">
      <c r="I1384"/>
      <c r="J1384"/>
      <c r="K1384"/>
      <c r="L1384"/>
      <c r="M1384"/>
      <c r="N1384"/>
    </row>
    <row r="1385" spans="9:14" x14ac:dyDescent="0.25">
      <c r="I1385"/>
      <c r="J1385"/>
      <c r="K1385"/>
      <c r="L1385"/>
      <c r="M1385"/>
      <c r="N1385"/>
    </row>
    <row r="1386" spans="9:14" x14ac:dyDescent="0.25">
      <c r="I1386"/>
      <c r="J1386"/>
      <c r="K1386"/>
      <c r="L1386"/>
      <c r="M1386"/>
      <c r="N1386"/>
    </row>
    <row r="1387" spans="9:14" x14ac:dyDescent="0.25">
      <c r="I1387"/>
      <c r="J1387"/>
      <c r="K1387"/>
      <c r="L1387"/>
      <c r="M1387"/>
      <c r="N1387"/>
    </row>
    <row r="1388" spans="9:14" x14ac:dyDescent="0.25">
      <c r="I1388"/>
      <c r="J1388"/>
      <c r="K1388"/>
      <c r="L1388"/>
      <c r="M1388"/>
      <c r="N1388"/>
    </row>
    <row r="1389" spans="9:14" x14ac:dyDescent="0.25">
      <c r="I1389"/>
      <c r="J1389"/>
      <c r="K1389"/>
      <c r="L1389"/>
      <c r="M1389"/>
      <c r="N1389"/>
    </row>
    <row r="1390" spans="9:14" x14ac:dyDescent="0.25">
      <c r="I1390"/>
      <c r="J1390"/>
      <c r="K1390"/>
      <c r="L1390"/>
      <c r="M1390"/>
      <c r="N1390"/>
    </row>
    <row r="1391" spans="9:14" x14ac:dyDescent="0.25">
      <c r="I1391"/>
      <c r="J1391"/>
      <c r="K1391"/>
      <c r="L1391"/>
      <c r="M1391"/>
      <c r="N1391"/>
    </row>
    <row r="1392" spans="9:14" x14ac:dyDescent="0.25">
      <c r="I1392"/>
      <c r="J1392"/>
      <c r="K1392"/>
      <c r="L1392"/>
      <c r="M1392"/>
      <c r="N1392"/>
    </row>
    <row r="1393" spans="9:14" x14ac:dyDescent="0.25">
      <c r="I1393"/>
      <c r="J1393"/>
      <c r="K1393"/>
      <c r="L1393"/>
      <c r="M1393"/>
      <c r="N1393"/>
    </row>
    <row r="1394" spans="9:14" x14ac:dyDescent="0.25">
      <c r="I1394"/>
      <c r="J1394"/>
      <c r="K1394"/>
      <c r="L1394"/>
      <c r="M1394"/>
      <c r="N1394"/>
    </row>
    <row r="1395" spans="9:14" x14ac:dyDescent="0.25">
      <c r="I1395"/>
      <c r="J1395"/>
      <c r="K1395"/>
      <c r="L1395"/>
      <c r="M1395"/>
      <c r="N1395"/>
    </row>
    <row r="1396" spans="9:14" x14ac:dyDescent="0.25">
      <c r="I1396"/>
      <c r="J1396"/>
      <c r="K1396"/>
      <c r="L1396"/>
      <c r="M1396"/>
      <c r="N1396"/>
    </row>
    <row r="1397" spans="9:14" x14ac:dyDescent="0.25">
      <c r="I1397"/>
      <c r="J1397"/>
      <c r="K1397"/>
      <c r="L1397"/>
      <c r="M1397"/>
      <c r="N1397"/>
    </row>
    <row r="1398" spans="9:14" x14ac:dyDescent="0.25">
      <c r="I1398"/>
      <c r="J1398"/>
      <c r="K1398"/>
      <c r="L1398"/>
      <c r="M1398"/>
      <c r="N1398"/>
    </row>
    <row r="1399" spans="9:14" x14ac:dyDescent="0.25">
      <c r="I1399"/>
      <c r="J1399"/>
      <c r="K1399"/>
      <c r="L1399"/>
      <c r="M1399"/>
      <c r="N1399"/>
    </row>
    <row r="1400" spans="9:14" x14ac:dyDescent="0.25">
      <c r="I1400"/>
      <c r="J1400"/>
      <c r="K1400"/>
      <c r="L1400"/>
      <c r="M1400"/>
      <c r="N1400"/>
    </row>
    <row r="1401" spans="9:14" x14ac:dyDescent="0.25">
      <c r="I1401"/>
      <c r="J1401"/>
      <c r="K1401"/>
      <c r="L1401"/>
      <c r="M1401"/>
      <c r="N1401"/>
    </row>
    <row r="1402" spans="9:14" x14ac:dyDescent="0.25">
      <c r="I1402"/>
      <c r="J1402"/>
      <c r="K1402"/>
      <c r="L1402"/>
      <c r="M1402"/>
      <c r="N1402"/>
    </row>
    <row r="1403" spans="9:14" x14ac:dyDescent="0.25">
      <c r="I1403"/>
      <c r="J1403"/>
      <c r="K1403"/>
      <c r="L1403"/>
      <c r="M1403"/>
      <c r="N1403"/>
    </row>
    <row r="1404" spans="9:14" x14ac:dyDescent="0.25">
      <c r="I1404"/>
      <c r="J1404"/>
      <c r="K1404"/>
      <c r="L1404"/>
      <c r="M1404"/>
      <c r="N1404"/>
    </row>
    <row r="1405" spans="9:14" x14ac:dyDescent="0.25">
      <c r="I1405"/>
      <c r="J1405"/>
      <c r="K1405"/>
      <c r="L1405"/>
      <c r="M1405"/>
      <c r="N1405"/>
    </row>
    <row r="1406" spans="9:14" x14ac:dyDescent="0.25">
      <c r="I1406"/>
      <c r="J1406"/>
      <c r="K1406"/>
      <c r="L1406"/>
      <c r="M1406"/>
      <c r="N1406"/>
    </row>
    <row r="1407" spans="9:14" x14ac:dyDescent="0.25">
      <c r="I1407"/>
      <c r="J1407"/>
      <c r="K1407"/>
      <c r="L1407"/>
      <c r="M1407"/>
      <c r="N1407"/>
    </row>
    <row r="1408" spans="9:14" x14ac:dyDescent="0.25">
      <c r="I1408"/>
      <c r="J1408"/>
      <c r="K1408"/>
      <c r="L1408"/>
      <c r="M1408"/>
      <c r="N1408"/>
    </row>
    <row r="1409" spans="9:14" x14ac:dyDescent="0.25">
      <c r="I1409"/>
      <c r="J1409"/>
      <c r="K1409"/>
      <c r="L1409"/>
      <c r="M1409"/>
      <c r="N1409"/>
    </row>
    <row r="1410" spans="9:14" x14ac:dyDescent="0.25">
      <c r="I1410"/>
      <c r="J1410"/>
      <c r="K1410"/>
      <c r="L1410"/>
      <c r="M1410"/>
      <c r="N1410"/>
    </row>
    <row r="1411" spans="9:14" x14ac:dyDescent="0.25">
      <c r="I1411"/>
      <c r="J1411"/>
      <c r="K1411"/>
      <c r="L1411"/>
      <c r="M1411"/>
      <c r="N1411"/>
    </row>
    <row r="1412" spans="9:14" x14ac:dyDescent="0.25">
      <c r="I1412"/>
      <c r="J1412"/>
      <c r="K1412"/>
      <c r="L1412"/>
      <c r="M1412"/>
      <c r="N1412"/>
    </row>
    <row r="1413" spans="9:14" x14ac:dyDescent="0.25">
      <c r="I1413"/>
      <c r="J1413"/>
      <c r="K1413"/>
      <c r="L1413"/>
      <c r="M1413"/>
      <c r="N1413"/>
    </row>
    <row r="1414" spans="9:14" x14ac:dyDescent="0.25">
      <c r="I1414"/>
      <c r="J1414"/>
      <c r="K1414"/>
      <c r="L1414"/>
      <c r="M1414"/>
      <c r="N1414"/>
    </row>
    <row r="1415" spans="9:14" x14ac:dyDescent="0.25">
      <c r="I1415"/>
      <c r="J1415"/>
      <c r="K1415"/>
      <c r="L1415"/>
      <c r="M1415"/>
      <c r="N1415"/>
    </row>
    <row r="1416" spans="9:14" x14ac:dyDescent="0.25">
      <c r="I1416"/>
      <c r="J1416"/>
      <c r="K1416"/>
      <c r="L1416"/>
      <c r="M1416"/>
      <c r="N1416"/>
    </row>
    <row r="1417" spans="9:14" x14ac:dyDescent="0.25">
      <c r="I1417"/>
      <c r="J1417"/>
      <c r="K1417"/>
      <c r="L1417"/>
      <c r="M1417"/>
      <c r="N1417"/>
    </row>
    <row r="1418" spans="9:14" x14ac:dyDescent="0.25">
      <c r="I1418"/>
      <c r="J1418"/>
      <c r="K1418"/>
      <c r="L1418"/>
      <c r="M1418"/>
      <c r="N1418"/>
    </row>
    <row r="1419" spans="9:14" x14ac:dyDescent="0.25">
      <c r="I1419"/>
      <c r="J1419"/>
      <c r="K1419"/>
      <c r="L1419"/>
      <c r="M1419"/>
      <c r="N1419"/>
    </row>
    <row r="1420" spans="9:14" x14ac:dyDescent="0.25">
      <c r="I1420"/>
      <c r="J1420"/>
      <c r="K1420"/>
      <c r="L1420"/>
      <c r="M1420"/>
      <c r="N1420"/>
    </row>
    <row r="1421" spans="9:14" x14ac:dyDescent="0.25">
      <c r="I1421"/>
      <c r="J1421"/>
      <c r="K1421"/>
      <c r="L1421"/>
      <c r="M1421"/>
      <c r="N1421"/>
    </row>
    <row r="1422" spans="9:14" x14ac:dyDescent="0.25">
      <c r="I1422"/>
      <c r="J1422"/>
      <c r="K1422"/>
      <c r="L1422"/>
      <c r="M1422"/>
      <c r="N1422"/>
    </row>
    <row r="1423" spans="9:14" x14ac:dyDescent="0.25">
      <c r="I1423"/>
      <c r="J1423"/>
      <c r="K1423"/>
      <c r="L1423"/>
      <c r="M1423"/>
      <c r="N1423"/>
    </row>
    <row r="1424" spans="9:14" x14ac:dyDescent="0.25">
      <c r="I1424"/>
      <c r="J1424"/>
      <c r="K1424"/>
      <c r="L1424"/>
      <c r="M1424"/>
      <c r="N1424"/>
    </row>
    <row r="1425" spans="9:14" x14ac:dyDescent="0.25">
      <c r="I1425"/>
      <c r="J1425"/>
      <c r="K1425"/>
      <c r="L1425"/>
      <c r="M1425"/>
      <c r="N1425"/>
    </row>
    <row r="1426" spans="9:14" x14ac:dyDescent="0.25">
      <c r="I1426"/>
      <c r="J1426"/>
      <c r="K1426"/>
      <c r="L1426"/>
      <c r="M1426"/>
      <c r="N1426"/>
    </row>
    <row r="1427" spans="9:14" x14ac:dyDescent="0.25">
      <c r="I1427"/>
      <c r="J1427"/>
      <c r="K1427"/>
      <c r="L1427"/>
      <c r="M1427"/>
      <c r="N1427"/>
    </row>
    <row r="1428" spans="9:14" x14ac:dyDescent="0.25">
      <c r="I1428"/>
      <c r="J1428"/>
      <c r="K1428"/>
      <c r="L1428"/>
      <c r="M1428"/>
      <c r="N1428"/>
    </row>
    <row r="1429" spans="9:14" x14ac:dyDescent="0.25">
      <c r="I1429"/>
      <c r="J1429"/>
      <c r="K1429"/>
      <c r="L1429"/>
      <c r="M1429"/>
      <c r="N1429"/>
    </row>
    <row r="1430" spans="9:14" x14ac:dyDescent="0.25">
      <c r="I1430"/>
      <c r="J1430"/>
      <c r="K1430"/>
      <c r="L1430"/>
      <c r="M1430"/>
      <c r="N1430"/>
    </row>
    <row r="1431" spans="9:14" x14ac:dyDescent="0.25">
      <c r="I1431"/>
      <c r="J1431"/>
      <c r="K1431"/>
      <c r="L1431"/>
      <c r="M1431"/>
      <c r="N1431"/>
    </row>
    <row r="1432" spans="9:14" x14ac:dyDescent="0.25">
      <c r="I1432"/>
      <c r="J1432"/>
      <c r="K1432"/>
      <c r="L1432"/>
      <c r="M1432"/>
      <c r="N1432"/>
    </row>
    <row r="1433" spans="9:14" x14ac:dyDescent="0.25">
      <c r="I1433"/>
      <c r="J1433"/>
      <c r="K1433"/>
      <c r="L1433"/>
      <c r="M1433"/>
      <c r="N1433"/>
    </row>
    <row r="1434" spans="9:14" x14ac:dyDescent="0.25">
      <c r="I1434"/>
      <c r="J1434"/>
      <c r="K1434"/>
      <c r="L1434"/>
      <c r="M1434"/>
      <c r="N1434"/>
    </row>
    <row r="1435" spans="9:14" x14ac:dyDescent="0.25">
      <c r="I1435"/>
      <c r="J1435"/>
      <c r="K1435"/>
      <c r="L1435"/>
      <c r="M1435"/>
      <c r="N1435"/>
    </row>
    <row r="1436" spans="9:14" x14ac:dyDescent="0.25">
      <c r="I1436"/>
      <c r="J1436"/>
      <c r="K1436"/>
      <c r="L1436"/>
      <c r="M1436"/>
      <c r="N1436"/>
    </row>
    <row r="1437" spans="9:14" x14ac:dyDescent="0.25">
      <c r="I1437"/>
      <c r="J1437"/>
      <c r="K1437"/>
      <c r="L1437"/>
      <c r="M1437"/>
      <c r="N1437"/>
    </row>
    <row r="1438" spans="9:14" x14ac:dyDescent="0.25">
      <c r="I1438"/>
      <c r="J1438"/>
      <c r="K1438"/>
      <c r="L1438"/>
      <c r="M1438"/>
      <c r="N1438"/>
    </row>
    <row r="1439" spans="9:14" x14ac:dyDescent="0.25">
      <c r="I1439"/>
      <c r="J1439"/>
      <c r="K1439"/>
      <c r="L1439"/>
      <c r="M1439"/>
      <c r="N1439"/>
    </row>
    <row r="1440" spans="9:14" x14ac:dyDescent="0.25">
      <c r="I1440"/>
      <c r="J1440"/>
      <c r="K1440"/>
      <c r="L1440"/>
      <c r="M1440"/>
      <c r="N1440"/>
    </row>
    <row r="1441" spans="9:14" x14ac:dyDescent="0.25">
      <c r="I1441"/>
      <c r="J1441"/>
      <c r="K1441"/>
      <c r="L1441"/>
      <c r="M1441"/>
      <c r="N1441"/>
    </row>
    <row r="1442" spans="9:14" x14ac:dyDescent="0.25">
      <c r="I1442"/>
      <c r="J1442"/>
      <c r="K1442"/>
      <c r="L1442"/>
      <c r="M1442"/>
      <c r="N1442"/>
    </row>
    <row r="1443" spans="9:14" x14ac:dyDescent="0.25">
      <c r="I1443"/>
      <c r="J1443"/>
      <c r="K1443"/>
      <c r="L1443"/>
      <c r="M1443"/>
      <c r="N1443"/>
    </row>
    <row r="1444" spans="9:14" x14ac:dyDescent="0.25">
      <c r="I1444"/>
      <c r="J1444"/>
      <c r="K1444"/>
      <c r="L1444"/>
      <c r="M1444"/>
      <c r="N1444"/>
    </row>
    <row r="1445" spans="9:14" x14ac:dyDescent="0.25">
      <c r="I1445"/>
      <c r="J1445"/>
      <c r="K1445"/>
      <c r="L1445"/>
      <c r="M1445"/>
      <c r="N1445"/>
    </row>
    <row r="1446" spans="9:14" x14ac:dyDescent="0.25">
      <c r="I1446"/>
      <c r="J1446"/>
      <c r="K1446"/>
      <c r="L1446"/>
      <c r="M1446"/>
      <c r="N1446"/>
    </row>
    <row r="1447" spans="9:14" x14ac:dyDescent="0.25">
      <c r="I1447"/>
      <c r="J1447"/>
      <c r="K1447"/>
      <c r="L1447"/>
      <c r="M1447"/>
      <c r="N1447"/>
    </row>
    <row r="1448" spans="9:14" x14ac:dyDescent="0.25">
      <c r="I1448"/>
      <c r="J1448"/>
      <c r="K1448"/>
      <c r="L1448"/>
      <c r="M1448"/>
      <c r="N1448"/>
    </row>
    <row r="1449" spans="9:14" x14ac:dyDescent="0.25">
      <c r="I1449"/>
      <c r="J1449"/>
      <c r="K1449"/>
      <c r="L1449"/>
      <c r="M1449"/>
      <c r="N1449"/>
    </row>
    <row r="1450" spans="9:14" x14ac:dyDescent="0.25">
      <c r="I1450"/>
      <c r="J1450"/>
      <c r="K1450"/>
      <c r="L1450"/>
      <c r="M1450"/>
      <c r="N1450"/>
    </row>
    <row r="1451" spans="9:14" x14ac:dyDescent="0.25">
      <c r="I1451"/>
      <c r="J1451"/>
      <c r="K1451"/>
      <c r="L1451"/>
      <c r="M1451"/>
      <c r="N1451"/>
    </row>
    <row r="1452" spans="9:14" x14ac:dyDescent="0.25">
      <c r="I1452"/>
      <c r="J1452"/>
      <c r="K1452"/>
      <c r="L1452"/>
      <c r="M1452"/>
      <c r="N1452"/>
    </row>
    <row r="1453" spans="9:14" x14ac:dyDescent="0.25">
      <c r="I1453"/>
      <c r="J1453"/>
      <c r="K1453"/>
      <c r="L1453"/>
      <c r="M1453"/>
      <c r="N1453"/>
    </row>
    <row r="1454" spans="9:14" x14ac:dyDescent="0.25">
      <c r="I1454"/>
      <c r="J1454"/>
      <c r="K1454"/>
      <c r="L1454"/>
      <c r="M1454"/>
      <c r="N1454"/>
    </row>
    <row r="1455" spans="9:14" x14ac:dyDescent="0.25">
      <c r="I1455"/>
      <c r="J1455"/>
      <c r="K1455"/>
      <c r="L1455"/>
      <c r="M1455"/>
      <c r="N1455"/>
    </row>
    <row r="1456" spans="9:14" x14ac:dyDescent="0.25">
      <c r="I1456"/>
      <c r="J1456"/>
      <c r="K1456"/>
      <c r="L1456"/>
      <c r="M1456"/>
      <c r="N1456"/>
    </row>
    <row r="1457" spans="9:14" x14ac:dyDescent="0.25">
      <c r="I1457"/>
      <c r="J1457"/>
      <c r="K1457"/>
      <c r="L1457"/>
      <c r="M1457"/>
      <c r="N1457"/>
    </row>
    <row r="1458" spans="9:14" x14ac:dyDescent="0.25">
      <c r="I1458"/>
      <c r="J1458"/>
      <c r="K1458"/>
      <c r="L1458"/>
      <c r="M1458"/>
      <c r="N1458"/>
    </row>
    <row r="1459" spans="9:14" x14ac:dyDescent="0.25">
      <c r="I1459"/>
      <c r="J1459"/>
      <c r="K1459"/>
      <c r="L1459"/>
      <c r="M1459"/>
      <c r="N1459"/>
    </row>
    <row r="1460" spans="9:14" x14ac:dyDescent="0.25">
      <c r="I1460"/>
      <c r="J1460"/>
      <c r="K1460"/>
      <c r="L1460"/>
      <c r="M1460"/>
      <c r="N1460"/>
    </row>
    <row r="1461" spans="9:14" x14ac:dyDescent="0.25">
      <c r="I1461"/>
      <c r="J1461"/>
      <c r="K1461"/>
      <c r="L1461"/>
      <c r="M1461"/>
      <c r="N1461"/>
    </row>
    <row r="1462" spans="9:14" x14ac:dyDescent="0.25">
      <c r="I1462"/>
      <c r="J1462"/>
      <c r="K1462"/>
      <c r="L1462"/>
      <c r="M1462"/>
      <c r="N1462"/>
    </row>
    <row r="1463" spans="9:14" x14ac:dyDescent="0.25">
      <c r="I1463"/>
      <c r="J1463"/>
      <c r="K1463"/>
      <c r="L1463"/>
      <c r="M1463"/>
      <c r="N1463"/>
    </row>
    <row r="1464" spans="9:14" x14ac:dyDescent="0.25">
      <c r="I1464"/>
      <c r="J1464"/>
      <c r="K1464"/>
      <c r="L1464"/>
      <c r="M1464"/>
      <c r="N1464"/>
    </row>
    <row r="1465" spans="9:14" x14ac:dyDescent="0.25">
      <c r="I1465"/>
      <c r="J1465"/>
      <c r="K1465"/>
      <c r="L1465"/>
      <c r="M1465"/>
      <c r="N1465"/>
    </row>
    <row r="1466" spans="9:14" x14ac:dyDescent="0.25">
      <c r="I1466"/>
      <c r="J1466"/>
      <c r="K1466"/>
      <c r="L1466"/>
      <c r="M1466"/>
      <c r="N1466"/>
    </row>
    <row r="1467" spans="9:14" x14ac:dyDescent="0.25">
      <c r="I1467"/>
      <c r="J1467"/>
      <c r="K1467"/>
      <c r="L1467"/>
      <c r="M1467"/>
      <c r="N1467"/>
    </row>
    <row r="1468" spans="9:14" x14ac:dyDescent="0.25">
      <c r="I1468"/>
      <c r="J1468"/>
      <c r="K1468"/>
      <c r="L1468"/>
      <c r="M1468"/>
      <c r="N1468"/>
    </row>
    <row r="1469" spans="9:14" x14ac:dyDescent="0.25">
      <c r="I1469"/>
      <c r="J1469"/>
      <c r="K1469"/>
      <c r="L1469"/>
      <c r="M1469"/>
      <c r="N1469"/>
    </row>
    <row r="1470" spans="9:14" x14ac:dyDescent="0.25">
      <c r="I1470"/>
      <c r="J1470"/>
      <c r="K1470"/>
      <c r="L1470"/>
      <c r="M1470"/>
      <c r="N1470"/>
    </row>
    <row r="1471" spans="9:14" x14ac:dyDescent="0.25">
      <c r="I1471"/>
      <c r="J1471"/>
      <c r="K1471"/>
      <c r="L1471"/>
      <c r="M1471"/>
      <c r="N1471"/>
    </row>
    <row r="1472" spans="9:14" x14ac:dyDescent="0.25">
      <c r="I1472"/>
      <c r="J1472"/>
      <c r="K1472"/>
      <c r="L1472"/>
      <c r="M1472"/>
      <c r="N1472"/>
    </row>
    <row r="1473" spans="9:14" x14ac:dyDescent="0.25">
      <c r="I1473"/>
      <c r="J1473"/>
      <c r="K1473"/>
      <c r="L1473"/>
      <c r="M1473"/>
      <c r="N1473"/>
    </row>
    <row r="1474" spans="9:14" x14ac:dyDescent="0.25">
      <c r="I1474"/>
      <c r="J1474"/>
      <c r="K1474"/>
      <c r="L1474"/>
      <c r="M1474"/>
      <c r="N1474"/>
    </row>
    <row r="1475" spans="9:14" x14ac:dyDescent="0.25">
      <c r="I1475"/>
      <c r="J1475"/>
      <c r="K1475"/>
      <c r="L1475"/>
      <c r="M1475"/>
      <c r="N1475"/>
    </row>
    <row r="1476" spans="9:14" x14ac:dyDescent="0.25">
      <c r="I1476"/>
      <c r="J1476"/>
      <c r="K1476"/>
      <c r="L1476"/>
      <c r="M1476"/>
      <c r="N1476"/>
    </row>
    <row r="1477" spans="9:14" x14ac:dyDescent="0.25">
      <c r="I1477"/>
      <c r="J1477"/>
      <c r="K1477"/>
      <c r="L1477"/>
      <c r="M1477"/>
      <c r="N1477"/>
    </row>
    <row r="1478" spans="9:14" x14ac:dyDescent="0.25">
      <c r="I1478"/>
      <c r="J1478"/>
      <c r="K1478"/>
      <c r="L1478"/>
      <c r="M1478"/>
      <c r="N1478"/>
    </row>
    <row r="1479" spans="9:14" x14ac:dyDescent="0.25">
      <c r="I1479"/>
      <c r="J1479"/>
      <c r="K1479"/>
      <c r="L1479"/>
      <c r="M1479"/>
      <c r="N1479"/>
    </row>
    <row r="1480" spans="9:14" x14ac:dyDescent="0.25">
      <c r="I1480"/>
      <c r="J1480"/>
      <c r="K1480"/>
      <c r="L1480"/>
      <c r="M1480"/>
      <c r="N1480"/>
    </row>
    <row r="1481" spans="9:14" x14ac:dyDescent="0.25">
      <c r="I1481"/>
      <c r="J1481"/>
      <c r="K1481"/>
      <c r="L1481"/>
      <c r="M1481"/>
      <c r="N1481"/>
    </row>
    <row r="1482" spans="9:14" x14ac:dyDescent="0.25">
      <c r="I1482"/>
      <c r="J1482"/>
      <c r="K1482"/>
      <c r="L1482"/>
      <c r="M1482"/>
      <c r="N1482"/>
    </row>
    <row r="1483" spans="9:14" x14ac:dyDescent="0.25">
      <c r="I1483"/>
      <c r="J1483"/>
      <c r="K1483"/>
      <c r="L1483"/>
      <c r="M1483"/>
      <c r="N1483"/>
    </row>
    <row r="1484" spans="9:14" x14ac:dyDescent="0.25">
      <c r="I1484"/>
      <c r="J1484"/>
      <c r="K1484"/>
      <c r="L1484"/>
      <c r="M1484"/>
      <c r="N1484"/>
    </row>
    <row r="1485" spans="9:14" x14ac:dyDescent="0.25">
      <c r="I1485"/>
      <c r="J1485"/>
      <c r="K1485"/>
      <c r="L1485"/>
      <c r="M1485"/>
      <c r="N1485"/>
    </row>
    <row r="1486" spans="9:14" x14ac:dyDescent="0.25">
      <c r="I1486"/>
      <c r="J1486"/>
      <c r="K1486"/>
      <c r="L1486"/>
      <c r="M1486"/>
      <c r="N1486"/>
    </row>
    <row r="1487" spans="9:14" x14ac:dyDescent="0.25">
      <c r="I1487"/>
      <c r="J1487"/>
      <c r="K1487"/>
      <c r="L1487"/>
      <c r="M1487"/>
      <c r="N1487"/>
    </row>
    <row r="1488" spans="9:14" x14ac:dyDescent="0.25">
      <c r="I1488"/>
      <c r="J1488"/>
      <c r="K1488"/>
      <c r="L1488"/>
      <c r="M1488"/>
      <c r="N1488"/>
    </row>
    <row r="1489" spans="9:14" x14ac:dyDescent="0.25">
      <c r="I1489"/>
      <c r="J1489"/>
      <c r="K1489"/>
      <c r="L1489"/>
      <c r="M1489"/>
      <c r="N1489"/>
    </row>
    <row r="1490" spans="9:14" x14ac:dyDescent="0.25">
      <c r="I1490"/>
      <c r="J1490"/>
      <c r="K1490"/>
      <c r="L1490"/>
      <c r="M1490"/>
      <c r="N1490"/>
    </row>
    <row r="1491" spans="9:14" x14ac:dyDescent="0.25">
      <c r="I1491"/>
      <c r="J1491"/>
      <c r="K1491"/>
      <c r="L1491"/>
      <c r="M1491"/>
      <c r="N1491"/>
    </row>
    <row r="1492" spans="9:14" x14ac:dyDescent="0.25">
      <c r="I1492"/>
      <c r="J1492"/>
      <c r="K1492"/>
      <c r="L1492"/>
      <c r="M1492"/>
      <c r="N1492"/>
    </row>
    <row r="1493" spans="9:14" x14ac:dyDescent="0.25">
      <c r="I1493"/>
      <c r="J1493"/>
      <c r="K1493"/>
      <c r="L1493"/>
      <c r="M1493"/>
      <c r="N1493"/>
    </row>
    <row r="1494" spans="9:14" x14ac:dyDescent="0.25">
      <c r="I1494"/>
      <c r="J1494"/>
      <c r="K1494"/>
      <c r="L1494"/>
      <c r="M1494"/>
      <c r="N1494"/>
    </row>
    <row r="1495" spans="9:14" x14ac:dyDescent="0.25">
      <c r="I1495"/>
      <c r="J1495"/>
      <c r="K1495"/>
      <c r="L1495"/>
      <c r="M1495"/>
      <c r="N1495"/>
    </row>
    <row r="1496" spans="9:14" x14ac:dyDescent="0.25">
      <c r="I1496"/>
      <c r="J1496"/>
      <c r="K1496"/>
      <c r="L1496"/>
      <c r="M1496"/>
      <c r="N1496"/>
    </row>
    <row r="1497" spans="9:14" x14ac:dyDescent="0.25">
      <c r="I1497"/>
      <c r="J1497"/>
      <c r="K1497"/>
      <c r="L1497"/>
      <c r="M1497"/>
      <c r="N1497"/>
    </row>
    <row r="1498" spans="9:14" x14ac:dyDescent="0.25">
      <c r="I1498"/>
      <c r="J1498"/>
      <c r="K1498"/>
      <c r="L1498"/>
      <c r="M1498"/>
      <c r="N1498"/>
    </row>
    <row r="1499" spans="9:14" x14ac:dyDescent="0.25">
      <c r="I1499"/>
      <c r="J1499"/>
      <c r="K1499"/>
      <c r="L1499"/>
      <c r="M1499"/>
      <c r="N1499"/>
    </row>
    <row r="1500" spans="9:14" x14ac:dyDescent="0.25">
      <c r="I1500"/>
      <c r="J1500"/>
      <c r="K1500"/>
      <c r="L1500"/>
      <c r="M1500"/>
      <c r="N1500"/>
    </row>
    <row r="1501" spans="9:14" x14ac:dyDescent="0.25">
      <c r="N1501"/>
    </row>
  </sheetData>
  <mergeCells count="7">
    <mergeCell ref="B10:F10"/>
    <mergeCell ref="B2:G2"/>
    <mergeCell ref="B3:G3"/>
    <mergeCell ref="C5:G5"/>
    <mergeCell ref="C6:G6"/>
    <mergeCell ref="C7:G7"/>
    <mergeCell ref="C8:G8"/>
  </mergeCells>
  <conditionalFormatting sqref="C8">
    <cfRule type="cellIs" dxfId="202" priority="24" operator="equal">
      <formula>"Erro"</formula>
    </cfRule>
  </conditionalFormatting>
  <conditionalFormatting sqref="Q3:Q6">
    <cfRule type="cellIs" dxfId="201" priority="22" operator="equal">
      <formula>FALSE</formula>
    </cfRule>
    <cfRule type="cellIs" dxfId="200" priority="23" operator="equal">
      <formula>TRUE</formula>
    </cfRule>
  </conditionalFormatting>
  <conditionalFormatting sqref="Q7">
    <cfRule type="cellIs" dxfId="199" priority="20" operator="equal">
      <formula>"Erro"</formula>
    </cfRule>
    <cfRule type="cellIs" dxfId="198" priority="21" operator="equal">
      <formula>"OK"</formula>
    </cfRule>
  </conditionalFormatting>
  <conditionalFormatting sqref="Q28:Q32">
    <cfRule type="cellIs" dxfId="197" priority="18" operator="equal">
      <formula>0</formula>
    </cfRule>
    <cfRule type="cellIs" dxfId="196" priority="19" operator="equal">
      <formula>1</formula>
    </cfRule>
  </conditionalFormatting>
  <conditionalFormatting sqref="Q18:Q22 Q45 Q49 Q51 Q53 Q55 Q57">
    <cfRule type="cellIs" dxfId="195" priority="14" stopIfTrue="1" operator="equal">
      <formula>"""-"""</formula>
    </cfRule>
    <cfRule type="cellIs" dxfId="194" priority="15" operator="greaterThanOrEqual">
      <formula>1</formula>
    </cfRule>
  </conditionalFormatting>
  <conditionalFormatting sqref="G10">
    <cfRule type="cellIs" dxfId="193" priority="13" operator="equal">
      <formula>"Erro"</formula>
    </cfRule>
  </conditionalFormatting>
  <conditionalFormatting sqref="J2:J5">
    <cfRule type="cellIs" dxfId="192" priority="11" operator="equal">
      <formula>"TRUE"</formula>
    </cfRule>
    <cfRule type="cellIs" dxfId="191" priority="12" operator="equal">
      <formula>"FALSE"</formula>
    </cfRule>
  </conditionalFormatting>
  <conditionalFormatting sqref="J6">
    <cfRule type="cellIs" dxfId="190" priority="9" operator="equal">
      <formula>"TRUE"</formula>
    </cfRule>
    <cfRule type="cellIs" dxfId="189" priority="10" operator="equal">
      <formula>"FALSE"</formula>
    </cfRule>
  </conditionalFormatting>
  <conditionalFormatting sqref="E13:E19">
    <cfRule type="cellIs" dxfId="188" priority="6" operator="greaterThanOrEqual">
      <formula>1</formula>
    </cfRule>
  </conditionalFormatting>
  <conditionalFormatting sqref="E20:E23">
    <cfRule type="cellIs" dxfId="187" priority="3" operator="greaterThanOrEqual">
      <formula>1</formula>
    </cfRule>
  </conditionalFormatting>
  <conditionalFormatting sqref="J7">
    <cfRule type="cellIs" dxfId="186" priority="1" operator="equal">
      <formula>"TRUE"</formula>
    </cfRule>
    <cfRule type="cellIs" dxfId="185" priority="2" operator="equal">
      <formula>"FALSE"</formula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6" operator="greaterThanOrEqual" id="{B94A6BED-759A-4E88-A618-DA969E8EAD8C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7" operator="lessThan" id="{33FA0C1C-27E3-4C94-B06D-3B84AC181BA5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Q18:Q22 Q45 Q49 Q51 Q53 Q55 Q57</xm:sqref>
        </x14:conditionalFormatting>
        <x14:conditionalFormatting xmlns:xm="http://schemas.microsoft.com/office/excel/2006/main">
          <x14:cfRule type="cellIs" priority="7" operator="greaterThanOrEqual" id="{13537EC4-EB44-425A-ACA3-4427AD5E3945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lessThan" id="{AC7E9573-D4DC-4E97-9A5D-A98346937050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E13:E19</xm:sqref>
        </x14:conditionalFormatting>
        <x14:conditionalFormatting xmlns:xm="http://schemas.microsoft.com/office/excel/2006/main">
          <x14:cfRule type="cellIs" priority="4" operator="greaterThanOrEqual" id="{AB5288E6-FC84-4565-AAB5-A421C3C3A7C6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" operator="lessThan" id="{6131112A-5B20-469B-8312-50B678D03B30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E20:E23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88B88-173D-4D22-B9E9-CBA286D9982C}">
  <sheetPr codeName="Planilha10"/>
  <dimension ref="A1:J6"/>
  <sheetViews>
    <sheetView showGridLines="0" workbookViewId="0">
      <pane ySplit="5" topLeftCell="A6" activePane="bottomLeft" state="frozen"/>
      <selection pane="bottomLeft" activeCell="D28" sqref="D28"/>
    </sheetView>
  </sheetViews>
  <sheetFormatPr defaultRowHeight="15" x14ac:dyDescent="0.25"/>
  <cols>
    <col min="1" max="1" width="19.140625" bestFit="1" customWidth="1"/>
    <col min="2" max="2" width="15.7109375" bestFit="1" customWidth="1"/>
    <col min="3" max="3" width="16" bestFit="1" customWidth="1"/>
    <col min="4" max="4" width="17" bestFit="1" customWidth="1"/>
    <col min="5" max="5" width="15.7109375" bestFit="1" customWidth="1"/>
    <col min="6" max="6" width="17.28515625" bestFit="1" customWidth="1"/>
    <col min="7" max="7" width="12.42578125" bestFit="1" customWidth="1"/>
    <col min="8" max="8" width="15.7109375" bestFit="1" customWidth="1"/>
    <col min="9" max="9" width="16.42578125" bestFit="1" customWidth="1"/>
    <col min="10" max="10" width="12.7109375" bestFit="1" customWidth="1"/>
  </cols>
  <sheetData>
    <row r="1" spans="1:10" ht="18.75" x14ac:dyDescent="0.3">
      <c r="A1" s="7" t="s">
        <v>54</v>
      </c>
    </row>
    <row r="5" spans="1:10" x14ac:dyDescent="0.25">
      <c r="A5" t="s">
        <v>46</v>
      </c>
      <c r="B5" t="s">
        <v>47</v>
      </c>
      <c r="C5" t="s">
        <v>48</v>
      </c>
      <c r="D5" t="s">
        <v>49</v>
      </c>
      <c r="E5" t="s">
        <v>50</v>
      </c>
      <c r="F5" t="s">
        <v>51</v>
      </c>
      <c r="G5" t="s">
        <v>0</v>
      </c>
      <c r="H5" t="s">
        <v>1</v>
      </c>
      <c r="I5" t="s">
        <v>52</v>
      </c>
      <c r="J5" t="s">
        <v>2</v>
      </c>
    </row>
    <row r="6" spans="1:10" x14ac:dyDescent="0.25">
      <c r="A6" s="6">
        <v>202007</v>
      </c>
      <c r="B6" s="4">
        <v>2020</v>
      </c>
      <c r="C6" s="4">
        <v>7</v>
      </c>
      <c r="D6" s="4">
        <v>2021</v>
      </c>
      <c r="E6" s="4">
        <v>1</v>
      </c>
      <c r="F6" s="4">
        <v>1</v>
      </c>
      <c r="G6" s="5" t="s">
        <v>18</v>
      </c>
      <c r="H6" s="5" t="s">
        <v>19</v>
      </c>
      <c r="I6" s="5" t="s">
        <v>53</v>
      </c>
      <c r="J6" s="5" t="s">
        <v>20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BBB19-9FAF-4D79-9843-D2254AE7CC9B}">
  <sheetPr codeName="Planilha11"/>
  <dimension ref="A1:J22"/>
  <sheetViews>
    <sheetView showGridLines="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H32" sqref="H32"/>
    </sheetView>
  </sheetViews>
  <sheetFormatPr defaultRowHeight="15" x14ac:dyDescent="0.25"/>
  <cols>
    <col min="1" max="1" width="16.42578125" bestFit="1" customWidth="1"/>
    <col min="2" max="2" width="18" bestFit="1" customWidth="1"/>
    <col min="3" max="3" width="25.28515625" bestFit="1" customWidth="1"/>
    <col min="4" max="4" width="20" bestFit="1" customWidth="1"/>
    <col min="5" max="5" width="14.28515625" bestFit="1" customWidth="1"/>
    <col min="6" max="6" width="17.140625" bestFit="1" customWidth="1"/>
    <col min="7" max="9" width="12.5703125" bestFit="1" customWidth="1"/>
    <col min="10" max="10" width="13.140625" bestFit="1" customWidth="1"/>
  </cols>
  <sheetData>
    <row r="1" spans="1:10" ht="18.75" x14ac:dyDescent="0.3">
      <c r="A1" s="7" t="s">
        <v>194</v>
      </c>
    </row>
    <row r="5" spans="1:10" x14ac:dyDescent="0.25">
      <c r="A5" t="s">
        <v>154</v>
      </c>
      <c r="B5" t="s">
        <v>155</v>
      </c>
      <c r="C5" t="s">
        <v>325</v>
      </c>
      <c r="D5" t="s">
        <v>326</v>
      </c>
      <c r="E5" t="s">
        <v>156</v>
      </c>
      <c r="F5" t="s">
        <v>92</v>
      </c>
      <c r="G5" t="s">
        <v>93</v>
      </c>
      <c r="H5" t="s">
        <v>157</v>
      </c>
      <c r="I5" t="s">
        <v>158</v>
      </c>
      <c r="J5" t="s">
        <v>327</v>
      </c>
    </row>
    <row r="6" spans="1:10" x14ac:dyDescent="0.25">
      <c r="A6" s="94">
        <v>45</v>
      </c>
      <c r="B6" s="92" t="s">
        <v>5</v>
      </c>
      <c r="C6" s="92" t="s">
        <v>5</v>
      </c>
      <c r="D6" s="92" t="s">
        <v>328</v>
      </c>
      <c r="E6" t="b">
        <v>1</v>
      </c>
      <c r="F6" t="b">
        <v>0</v>
      </c>
      <c r="G6" t="b">
        <v>0</v>
      </c>
      <c r="H6" t="b">
        <v>0</v>
      </c>
      <c r="I6" t="b">
        <v>0</v>
      </c>
      <c r="J6" t="b">
        <v>1</v>
      </c>
    </row>
    <row r="7" spans="1:10" x14ac:dyDescent="0.25">
      <c r="A7" s="94">
        <v>47</v>
      </c>
      <c r="B7" s="92" t="s">
        <v>3</v>
      </c>
      <c r="C7" s="92" t="s">
        <v>3</v>
      </c>
      <c r="D7" s="92" t="s">
        <v>328</v>
      </c>
      <c r="E7" t="b">
        <v>1</v>
      </c>
      <c r="F7" t="b">
        <v>0</v>
      </c>
      <c r="G7" t="b">
        <v>0</v>
      </c>
      <c r="H7" t="b">
        <v>0</v>
      </c>
      <c r="I7" t="b">
        <v>0</v>
      </c>
      <c r="J7" t="b">
        <v>1</v>
      </c>
    </row>
    <row r="8" spans="1:10" x14ac:dyDescent="0.25">
      <c r="A8" s="94">
        <v>54</v>
      </c>
      <c r="B8" s="92" t="s">
        <v>13</v>
      </c>
      <c r="C8" s="92" t="s">
        <v>329</v>
      </c>
      <c r="D8" s="92" t="s">
        <v>328</v>
      </c>
      <c r="E8" t="b">
        <v>1</v>
      </c>
      <c r="F8" t="b">
        <v>0</v>
      </c>
      <c r="G8" t="b">
        <v>0</v>
      </c>
      <c r="H8" t="b">
        <v>0</v>
      </c>
      <c r="I8" t="b">
        <v>0</v>
      </c>
      <c r="J8" t="b">
        <v>1</v>
      </c>
    </row>
    <row r="9" spans="1:10" x14ac:dyDescent="0.25">
      <c r="A9" s="94">
        <v>55</v>
      </c>
      <c r="B9" s="92" t="s">
        <v>159</v>
      </c>
      <c r="C9" s="92" t="s">
        <v>329</v>
      </c>
      <c r="D9" s="92" t="s">
        <v>328</v>
      </c>
      <c r="E9" t="b">
        <v>1</v>
      </c>
      <c r="F9" t="b">
        <v>0</v>
      </c>
      <c r="G9" t="b">
        <v>0</v>
      </c>
      <c r="H9" t="b">
        <v>0</v>
      </c>
      <c r="I9" t="b">
        <v>0</v>
      </c>
      <c r="J9" t="b">
        <v>1</v>
      </c>
    </row>
    <row r="10" spans="1:10" x14ac:dyDescent="0.25">
      <c r="A10" s="94">
        <v>56</v>
      </c>
      <c r="B10" s="92" t="s">
        <v>4</v>
      </c>
      <c r="C10" s="92" t="s">
        <v>329</v>
      </c>
      <c r="D10" s="92" t="s">
        <v>328</v>
      </c>
      <c r="E10" t="b">
        <v>1</v>
      </c>
      <c r="F10" t="b">
        <v>0</v>
      </c>
      <c r="G10" t="b">
        <v>0</v>
      </c>
      <c r="H10" t="b">
        <v>0</v>
      </c>
      <c r="I10" t="b">
        <v>0</v>
      </c>
      <c r="J10" t="b">
        <v>1</v>
      </c>
    </row>
    <row r="11" spans="1:10" x14ac:dyDescent="0.25">
      <c r="A11" s="94">
        <v>57</v>
      </c>
      <c r="B11" s="92" t="s">
        <v>7</v>
      </c>
      <c r="C11" s="92" t="s">
        <v>329</v>
      </c>
      <c r="D11" s="92" t="s">
        <v>328</v>
      </c>
      <c r="E11" t="b">
        <v>1</v>
      </c>
      <c r="F11" t="b">
        <v>0</v>
      </c>
      <c r="G11" t="b">
        <v>0</v>
      </c>
      <c r="H11" t="b">
        <v>0</v>
      </c>
      <c r="I11" t="b">
        <v>0</v>
      </c>
      <c r="J11" t="b">
        <v>1</v>
      </c>
    </row>
    <row r="12" spans="1:10" x14ac:dyDescent="0.25">
      <c r="A12" s="94">
        <v>60</v>
      </c>
      <c r="B12" s="92" t="s">
        <v>9</v>
      </c>
      <c r="C12" s="92" t="s">
        <v>329</v>
      </c>
      <c r="D12" s="92" t="s">
        <v>328</v>
      </c>
      <c r="E12" t="b">
        <v>1</v>
      </c>
      <c r="F12" t="b">
        <v>0</v>
      </c>
      <c r="G12" t="b">
        <v>0</v>
      </c>
      <c r="H12" t="b">
        <v>0</v>
      </c>
      <c r="I12" t="b">
        <v>0</v>
      </c>
      <c r="J12" t="b">
        <v>1</v>
      </c>
    </row>
    <row r="13" spans="1:10" x14ac:dyDescent="0.25">
      <c r="A13" s="94">
        <v>61</v>
      </c>
      <c r="B13" s="92" t="s">
        <v>160</v>
      </c>
      <c r="C13" s="92" t="s">
        <v>329</v>
      </c>
      <c r="D13" s="92" t="s">
        <v>328</v>
      </c>
      <c r="E13" t="b">
        <v>1</v>
      </c>
      <c r="F13" t="b">
        <v>0</v>
      </c>
      <c r="G13" t="b">
        <v>0</v>
      </c>
      <c r="H13" t="b">
        <v>0</v>
      </c>
      <c r="I13" t="b">
        <v>0</v>
      </c>
      <c r="J13" t="b">
        <v>1</v>
      </c>
    </row>
    <row r="14" spans="1:10" x14ac:dyDescent="0.25">
      <c r="A14" s="94">
        <v>62</v>
      </c>
      <c r="B14" s="92" t="s">
        <v>10</v>
      </c>
      <c r="C14" s="92" t="s">
        <v>329</v>
      </c>
      <c r="D14" s="92" t="s">
        <v>328</v>
      </c>
      <c r="E14" t="b">
        <v>1</v>
      </c>
      <c r="F14" t="b">
        <v>1</v>
      </c>
      <c r="G14" t="b">
        <v>0</v>
      </c>
      <c r="H14" t="b">
        <v>1</v>
      </c>
      <c r="I14" t="b">
        <v>1</v>
      </c>
      <c r="J14" t="b">
        <v>1</v>
      </c>
    </row>
    <row r="15" spans="1:10" x14ac:dyDescent="0.25">
      <c r="A15" s="94">
        <v>64</v>
      </c>
      <c r="B15" s="92" t="s">
        <v>8</v>
      </c>
      <c r="C15" s="92" t="s">
        <v>329</v>
      </c>
      <c r="D15" s="92" t="s">
        <v>328</v>
      </c>
      <c r="E15" t="b">
        <v>1</v>
      </c>
      <c r="F15" t="b">
        <v>1</v>
      </c>
      <c r="G15" t="b">
        <v>0</v>
      </c>
      <c r="H15" t="b">
        <v>1</v>
      </c>
      <c r="I15" t="b">
        <v>1</v>
      </c>
      <c r="J15" t="b">
        <v>1</v>
      </c>
    </row>
    <row r="16" spans="1:10" x14ac:dyDescent="0.25">
      <c r="A16" s="94">
        <v>65</v>
      </c>
      <c r="B16" s="92" t="s">
        <v>161</v>
      </c>
      <c r="C16" s="92" t="s">
        <v>329</v>
      </c>
      <c r="D16" s="92" t="s">
        <v>328</v>
      </c>
      <c r="E16" t="b">
        <v>1</v>
      </c>
      <c r="F16" t="b">
        <v>0</v>
      </c>
      <c r="G16" t="b">
        <v>0</v>
      </c>
      <c r="H16" t="b">
        <v>0</v>
      </c>
      <c r="I16" t="b">
        <v>0</v>
      </c>
      <c r="J16" t="b">
        <v>1</v>
      </c>
    </row>
    <row r="17" spans="1:10" x14ac:dyDescent="0.25">
      <c r="A17" s="94">
        <v>66</v>
      </c>
      <c r="B17" s="92" t="s">
        <v>6</v>
      </c>
      <c r="C17" s="92" t="s">
        <v>329</v>
      </c>
      <c r="D17" s="92" t="s">
        <v>328</v>
      </c>
      <c r="E17" t="b">
        <v>1</v>
      </c>
      <c r="F17" t="b">
        <v>1</v>
      </c>
      <c r="G17" t="b">
        <v>1</v>
      </c>
      <c r="H17" t="b">
        <v>0</v>
      </c>
      <c r="I17" t="b">
        <v>1</v>
      </c>
      <c r="J17" t="b">
        <v>1</v>
      </c>
    </row>
    <row r="18" spans="1:10" x14ac:dyDescent="0.25">
      <c r="A18" s="94">
        <v>67</v>
      </c>
      <c r="B18" s="92" t="s">
        <v>162</v>
      </c>
      <c r="C18" s="92" t="s">
        <v>329</v>
      </c>
      <c r="D18" s="92" t="s">
        <v>328</v>
      </c>
      <c r="E18" t="b">
        <v>1</v>
      </c>
      <c r="F18" t="b">
        <v>0</v>
      </c>
      <c r="G18" t="b">
        <v>0</v>
      </c>
      <c r="H18" t="b">
        <v>0</v>
      </c>
      <c r="I18" t="b">
        <v>0</v>
      </c>
      <c r="J18" t="b">
        <v>1</v>
      </c>
    </row>
    <row r="19" spans="1:10" x14ac:dyDescent="0.25">
      <c r="A19" s="94">
        <v>70</v>
      </c>
      <c r="B19" s="92" t="s">
        <v>12</v>
      </c>
      <c r="C19" s="92" t="s">
        <v>329</v>
      </c>
      <c r="D19" s="92" t="s">
        <v>328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</row>
    <row r="20" spans="1:10" x14ac:dyDescent="0.25">
      <c r="A20" s="94">
        <v>71</v>
      </c>
      <c r="B20" s="92" t="s">
        <v>163</v>
      </c>
      <c r="C20" s="92" t="s">
        <v>329</v>
      </c>
      <c r="D20" s="92" t="s">
        <v>328</v>
      </c>
      <c r="E20" t="b">
        <v>1</v>
      </c>
      <c r="F20" t="b">
        <v>0</v>
      </c>
      <c r="G20" t="b">
        <v>0</v>
      </c>
      <c r="H20" t="b">
        <v>0</v>
      </c>
      <c r="I20" t="b">
        <v>0</v>
      </c>
      <c r="J20" t="b">
        <v>1</v>
      </c>
    </row>
    <row r="21" spans="1:10" x14ac:dyDescent="0.25">
      <c r="A21" s="94">
        <v>73</v>
      </c>
      <c r="B21" s="92" t="s">
        <v>11</v>
      </c>
      <c r="C21" s="92" t="s">
        <v>329</v>
      </c>
      <c r="D21" s="92" t="s">
        <v>328</v>
      </c>
      <c r="E21" t="b">
        <v>1</v>
      </c>
      <c r="F21" t="b">
        <v>1</v>
      </c>
      <c r="G21" t="b">
        <v>1</v>
      </c>
      <c r="H21" t="b">
        <v>0</v>
      </c>
      <c r="I21" t="b">
        <v>1</v>
      </c>
      <c r="J21" t="b">
        <v>1</v>
      </c>
    </row>
    <row r="22" spans="1:10" x14ac:dyDescent="0.25">
      <c r="A22" s="94">
        <v>74</v>
      </c>
      <c r="B22" s="92" t="s">
        <v>164</v>
      </c>
      <c r="C22" s="92" t="s">
        <v>329</v>
      </c>
      <c r="D22" s="92" t="s">
        <v>328</v>
      </c>
      <c r="E22" t="b">
        <v>1</v>
      </c>
      <c r="F22" t="b">
        <v>0</v>
      </c>
      <c r="G22" t="b">
        <v>0</v>
      </c>
      <c r="H22" t="b">
        <v>0</v>
      </c>
      <c r="I22" t="b">
        <v>0</v>
      </c>
      <c r="J22" t="b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3690-2827-4D71-816B-A4A538700600}">
  <sheetPr codeName="Planilha12"/>
  <dimension ref="A1:O69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19" style="1" bestFit="1" customWidth="1"/>
    <col min="2" max="2" width="16.140625" style="1" bestFit="1" customWidth="1"/>
    <col min="3" max="3" width="30.7109375" style="1" bestFit="1" customWidth="1"/>
    <col min="4" max="4" width="36.28515625" style="1" bestFit="1" customWidth="1"/>
    <col min="5" max="5" width="31.42578125" style="1" bestFit="1" customWidth="1"/>
    <col min="6" max="6" width="36.28515625" style="1" bestFit="1" customWidth="1"/>
    <col min="7" max="7" width="33" style="1" bestFit="1" customWidth="1"/>
    <col min="8" max="10" width="12.42578125" style="1" bestFit="1" customWidth="1"/>
    <col min="11" max="11" width="14.7109375" style="1" bestFit="1" customWidth="1"/>
    <col min="12" max="12" width="17" style="1" bestFit="1" customWidth="1"/>
    <col min="13" max="13" width="21.42578125" style="1" bestFit="1" customWidth="1"/>
    <col min="14" max="14" width="15.5703125" style="1" bestFit="1" customWidth="1"/>
    <col min="15" max="15" width="14.42578125" style="1" bestFit="1" customWidth="1"/>
    <col min="16" max="16384" width="9.140625" style="1"/>
  </cols>
  <sheetData>
    <row r="1" spans="1:15" ht="18.75" x14ac:dyDescent="0.25">
      <c r="A1" s="8" t="s">
        <v>183</v>
      </c>
    </row>
    <row r="5" spans="1:15" x14ac:dyDescent="0.25">
      <c r="A5" s="1" t="s">
        <v>104</v>
      </c>
      <c r="B5" s="1" t="s">
        <v>105</v>
      </c>
      <c r="C5" s="1" t="s">
        <v>110</v>
      </c>
      <c r="D5" s="1" t="s">
        <v>170</v>
      </c>
      <c r="E5" s="1" t="s">
        <v>171</v>
      </c>
      <c r="F5" s="1" t="s">
        <v>172</v>
      </c>
      <c r="G5" s="1" t="s">
        <v>173</v>
      </c>
      <c r="H5" s="1" t="s">
        <v>93</v>
      </c>
      <c r="I5" s="1" t="s">
        <v>157</v>
      </c>
      <c r="J5" s="1" t="s">
        <v>158</v>
      </c>
      <c r="K5" s="1" t="s">
        <v>174</v>
      </c>
      <c r="L5" s="1" t="s">
        <v>92</v>
      </c>
      <c r="M5" s="1" t="s">
        <v>175</v>
      </c>
      <c r="N5" s="1" t="s">
        <v>176</v>
      </c>
      <c r="O5" s="1" t="s">
        <v>212</v>
      </c>
    </row>
    <row r="6" spans="1:15" x14ac:dyDescent="0.25">
      <c r="A6" s="47">
        <v>202007</v>
      </c>
      <c r="B6" s="47">
        <v>62</v>
      </c>
      <c r="C6" s="48" t="s">
        <v>94</v>
      </c>
      <c r="D6" s="48" t="s">
        <v>126</v>
      </c>
      <c r="E6" s="42"/>
      <c r="F6" s="42" t="s">
        <v>126</v>
      </c>
      <c r="G6" s="42"/>
      <c r="H6" s="1" t="b">
        <v>0</v>
      </c>
      <c r="I6" s="1" t="b">
        <v>1</v>
      </c>
      <c r="J6" s="1" t="b">
        <v>0</v>
      </c>
      <c r="K6" s="1" t="b">
        <v>0</v>
      </c>
      <c r="L6" s="1" t="b">
        <v>1</v>
      </c>
      <c r="M6" s="21">
        <v>210</v>
      </c>
      <c r="N6" s="21">
        <v>210</v>
      </c>
      <c r="O6" s="27">
        <f>IF(Cota_Demanda[[#This Row],[@-Garantido]]=TRUE,1,0)</f>
        <v>0</v>
      </c>
    </row>
    <row r="7" spans="1:15" x14ac:dyDescent="0.25">
      <c r="A7" s="47">
        <v>202007</v>
      </c>
      <c r="B7" s="47">
        <v>64</v>
      </c>
      <c r="C7" s="48" t="s">
        <v>94</v>
      </c>
      <c r="D7" s="48" t="s">
        <v>126</v>
      </c>
      <c r="E7" s="42"/>
      <c r="F7" s="42" t="s">
        <v>126</v>
      </c>
      <c r="G7" s="42"/>
      <c r="H7" s="1" t="b">
        <v>0</v>
      </c>
      <c r="I7" s="1" t="b">
        <v>1</v>
      </c>
      <c r="J7" s="1" t="b">
        <v>0</v>
      </c>
      <c r="K7" s="1" t="b">
        <v>0</v>
      </c>
      <c r="L7" s="1" t="b">
        <v>1</v>
      </c>
      <c r="M7" s="21">
        <v>129</v>
      </c>
      <c r="N7" s="21">
        <v>129</v>
      </c>
      <c r="O7" s="27">
        <f>IF(Cota_Demanda[[#This Row],[@-Garantido]]=TRUE,1,0)</f>
        <v>0</v>
      </c>
    </row>
    <row r="8" spans="1:15" x14ac:dyDescent="0.25">
      <c r="A8" s="47">
        <v>202007</v>
      </c>
      <c r="B8" s="47">
        <v>70</v>
      </c>
      <c r="C8" s="48" t="s">
        <v>94</v>
      </c>
      <c r="D8" s="48" t="s">
        <v>126</v>
      </c>
      <c r="E8" s="42"/>
      <c r="F8" s="42" t="s">
        <v>126</v>
      </c>
      <c r="G8" s="42"/>
      <c r="H8" s="1" t="b">
        <v>0</v>
      </c>
      <c r="I8" s="1" t="b">
        <v>1</v>
      </c>
      <c r="J8" s="1" t="b">
        <v>0</v>
      </c>
      <c r="K8" s="1" t="b">
        <v>0</v>
      </c>
      <c r="L8" s="1" t="b">
        <v>1</v>
      </c>
      <c r="M8" s="21">
        <v>4761.17</v>
      </c>
      <c r="N8" s="21">
        <v>4761.17</v>
      </c>
      <c r="O8" s="27">
        <f>IF(Cota_Demanda[[#This Row],[@-Garantido]]=TRUE,1,0)</f>
        <v>0</v>
      </c>
    </row>
    <row r="9" spans="1:15" x14ac:dyDescent="0.25">
      <c r="A9" s="47">
        <v>202007</v>
      </c>
      <c r="B9" s="47">
        <v>62</v>
      </c>
      <c r="C9" s="48" t="s">
        <v>112</v>
      </c>
      <c r="D9" s="48" t="s">
        <v>120</v>
      </c>
      <c r="E9" s="42"/>
      <c r="F9" s="42" t="s">
        <v>120</v>
      </c>
      <c r="G9" s="42"/>
      <c r="H9" s="1" t="b">
        <v>0</v>
      </c>
      <c r="I9" s="1" t="b">
        <v>1</v>
      </c>
      <c r="J9" s="1" t="b">
        <v>0</v>
      </c>
      <c r="K9" s="1" t="b">
        <v>0</v>
      </c>
      <c r="L9" s="1" t="b">
        <v>1</v>
      </c>
      <c r="M9" s="21">
        <v>273</v>
      </c>
      <c r="N9" s="21">
        <v>273</v>
      </c>
      <c r="O9" s="27">
        <f>IF(Cota_Demanda[[#This Row],[@-Garantido]]=TRUE,1,0)</f>
        <v>0</v>
      </c>
    </row>
    <row r="10" spans="1:15" x14ac:dyDescent="0.25">
      <c r="A10" s="47">
        <v>202007</v>
      </c>
      <c r="B10" s="47">
        <v>64</v>
      </c>
      <c r="C10" s="48" t="s">
        <v>112</v>
      </c>
      <c r="D10" s="48" t="s">
        <v>120</v>
      </c>
      <c r="E10" s="42"/>
      <c r="F10" s="42" t="s">
        <v>120</v>
      </c>
      <c r="G10" s="42"/>
      <c r="H10" s="1" t="b">
        <v>0</v>
      </c>
      <c r="I10" s="1" t="b">
        <v>1</v>
      </c>
      <c r="J10" s="1" t="b">
        <v>0</v>
      </c>
      <c r="K10" s="1" t="b">
        <v>0</v>
      </c>
      <c r="L10" s="1" t="b">
        <v>1</v>
      </c>
      <c r="M10" s="21">
        <v>172</v>
      </c>
      <c r="N10" s="21">
        <v>172</v>
      </c>
      <c r="O10" s="27">
        <f>IF(Cota_Demanda[[#This Row],[@-Garantido]]=TRUE,1,0)</f>
        <v>0</v>
      </c>
    </row>
    <row r="11" spans="1:15" x14ac:dyDescent="0.25">
      <c r="A11" s="47">
        <v>202007</v>
      </c>
      <c r="B11" s="47">
        <v>70</v>
      </c>
      <c r="C11" s="48" t="s">
        <v>112</v>
      </c>
      <c r="D11" s="48" t="s">
        <v>120</v>
      </c>
      <c r="E11" s="42"/>
      <c r="F11" s="42" t="s">
        <v>120</v>
      </c>
      <c r="G11" s="42"/>
      <c r="H11" s="1" t="b">
        <v>0</v>
      </c>
      <c r="I11" s="1" t="b">
        <v>1</v>
      </c>
      <c r="J11" s="1" t="b">
        <v>0</v>
      </c>
      <c r="K11" s="1" t="b">
        <v>0</v>
      </c>
      <c r="L11" s="1" t="b">
        <v>1</v>
      </c>
      <c r="M11" s="21">
        <v>5441.33</v>
      </c>
      <c r="N11" s="21">
        <v>5441.33</v>
      </c>
      <c r="O11" s="27">
        <f>IF(Cota_Demanda[[#This Row],[@-Garantido]]=TRUE,1,0)</f>
        <v>0</v>
      </c>
    </row>
    <row r="12" spans="1:15" x14ac:dyDescent="0.25">
      <c r="A12" s="47">
        <v>202007</v>
      </c>
      <c r="B12" s="47">
        <v>62</v>
      </c>
      <c r="C12" s="48" t="s">
        <v>112</v>
      </c>
      <c r="D12" s="48" t="s">
        <v>115</v>
      </c>
      <c r="E12" s="42"/>
      <c r="F12" s="42" t="s">
        <v>115</v>
      </c>
      <c r="G12" s="42"/>
      <c r="H12" s="1" t="b">
        <v>0</v>
      </c>
      <c r="I12" s="1" t="b">
        <v>1</v>
      </c>
      <c r="J12" s="1" t="b">
        <v>0</v>
      </c>
      <c r="K12" s="1" t="b">
        <v>0</v>
      </c>
      <c r="L12" s="1" t="b">
        <v>1</v>
      </c>
      <c r="M12" s="21">
        <v>84</v>
      </c>
      <c r="N12" s="21">
        <v>84</v>
      </c>
      <c r="O12" s="27">
        <f>IF(Cota_Demanda[[#This Row],[@-Garantido]]=TRUE,1,0)</f>
        <v>0</v>
      </c>
    </row>
    <row r="13" spans="1:15" x14ac:dyDescent="0.25">
      <c r="A13" s="47">
        <v>202007</v>
      </c>
      <c r="B13" s="47">
        <v>64</v>
      </c>
      <c r="C13" s="48" t="s">
        <v>112</v>
      </c>
      <c r="D13" s="48" t="s">
        <v>115</v>
      </c>
      <c r="E13" s="42"/>
      <c r="F13" s="42" t="s">
        <v>115</v>
      </c>
      <c r="G13" s="42"/>
      <c r="H13" s="1" t="b">
        <v>0</v>
      </c>
      <c r="I13" s="1" t="b">
        <v>1</v>
      </c>
      <c r="J13" s="1" t="b">
        <v>0</v>
      </c>
      <c r="K13" s="1" t="b">
        <v>0</v>
      </c>
      <c r="L13" s="1" t="b">
        <v>1</v>
      </c>
      <c r="M13" s="21">
        <v>107.5</v>
      </c>
      <c r="N13" s="21">
        <v>107.5</v>
      </c>
      <c r="O13" s="27">
        <f>IF(Cota_Demanda[[#This Row],[@-Garantido]]=TRUE,1,0)</f>
        <v>0</v>
      </c>
    </row>
    <row r="14" spans="1:15" x14ac:dyDescent="0.25">
      <c r="A14" s="47">
        <v>202007</v>
      </c>
      <c r="B14" s="47">
        <v>70</v>
      </c>
      <c r="C14" s="48" t="s">
        <v>112</v>
      </c>
      <c r="D14" s="48" t="s">
        <v>115</v>
      </c>
      <c r="E14" s="42"/>
      <c r="F14" s="42" t="s">
        <v>115</v>
      </c>
      <c r="G14" s="42"/>
      <c r="H14" s="1" t="b">
        <v>0</v>
      </c>
      <c r="I14" s="1" t="b">
        <v>1</v>
      </c>
      <c r="J14" s="1" t="b">
        <v>0</v>
      </c>
      <c r="K14" s="1" t="b">
        <v>0</v>
      </c>
      <c r="L14" s="1" t="b">
        <v>1</v>
      </c>
      <c r="M14" s="21">
        <v>8842.17</v>
      </c>
      <c r="N14" s="21">
        <v>8842.17</v>
      </c>
      <c r="O14" s="27">
        <f>IF(Cota_Demanda[[#This Row],[@-Garantido]]=TRUE,1,0)</f>
        <v>0</v>
      </c>
    </row>
    <row r="15" spans="1:15" hidden="1" x14ac:dyDescent="0.25">
      <c r="A15" s="47">
        <v>202007</v>
      </c>
      <c r="B15" s="47">
        <v>66</v>
      </c>
      <c r="C15" s="48" t="s">
        <v>112</v>
      </c>
      <c r="D15" s="48" t="s">
        <v>98</v>
      </c>
      <c r="E15" s="42" t="s">
        <v>98</v>
      </c>
      <c r="F15" s="42"/>
      <c r="G15" s="42"/>
      <c r="H15" s="1" t="b">
        <v>1</v>
      </c>
      <c r="I15" s="1" t="b">
        <v>0</v>
      </c>
      <c r="J15" s="1" t="b">
        <v>0</v>
      </c>
      <c r="K15" s="1" t="b">
        <v>1</v>
      </c>
      <c r="L15" s="1" t="b">
        <v>1</v>
      </c>
      <c r="M15" s="21">
        <v>19.88</v>
      </c>
      <c r="N15" s="21">
        <v>19.88</v>
      </c>
      <c r="O15" s="27">
        <f>IF(Cota_Demanda[[#This Row],[@-Garantido]]=TRUE,1,0)</f>
        <v>1</v>
      </c>
    </row>
    <row r="16" spans="1:15" hidden="1" x14ac:dyDescent="0.25">
      <c r="A16" s="47">
        <v>202007</v>
      </c>
      <c r="B16" s="47">
        <v>70</v>
      </c>
      <c r="C16" s="48" t="s">
        <v>112</v>
      </c>
      <c r="D16" s="48" t="s">
        <v>98</v>
      </c>
      <c r="E16" s="42" t="s">
        <v>98</v>
      </c>
      <c r="F16" s="42"/>
      <c r="G16" s="42"/>
      <c r="H16" s="1" t="b">
        <v>1</v>
      </c>
      <c r="I16" s="1" t="b">
        <v>0</v>
      </c>
      <c r="J16" s="1" t="b">
        <v>0</v>
      </c>
      <c r="K16" s="1" t="b">
        <v>1</v>
      </c>
      <c r="L16" s="1" t="b">
        <v>1</v>
      </c>
      <c r="M16" s="21">
        <v>8842.17</v>
      </c>
      <c r="N16" s="21">
        <v>0</v>
      </c>
      <c r="O16" s="27">
        <f>IF(Cota_Demanda[[#This Row],[@-Garantido]]=TRUE,1,0)</f>
        <v>1</v>
      </c>
    </row>
    <row r="17" spans="1:15" hidden="1" x14ac:dyDescent="0.25">
      <c r="A17" s="47">
        <v>202007</v>
      </c>
      <c r="B17" s="47">
        <v>73</v>
      </c>
      <c r="C17" s="48" t="s">
        <v>112</v>
      </c>
      <c r="D17" s="48" t="s">
        <v>98</v>
      </c>
      <c r="E17" s="42" t="s">
        <v>98</v>
      </c>
      <c r="F17" s="42"/>
      <c r="G17" s="42"/>
      <c r="H17" s="1" t="b">
        <v>1</v>
      </c>
      <c r="I17" s="1" t="b">
        <v>0</v>
      </c>
      <c r="J17" s="1" t="b">
        <v>0</v>
      </c>
      <c r="K17" s="1" t="b">
        <v>1</v>
      </c>
      <c r="L17" s="1" t="b">
        <v>1</v>
      </c>
      <c r="M17" s="21">
        <v>1343</v>
      </c>
      <c r="N17" s="21">
        <v>1343</v>
      </c>
      <c r="O17" s="27">
        <f>IF(Cota_Demanda[[#This Row],[@-Garantido]]=TRUE,1,0)</f>
        <v>1</v>
      </c>
    </row>
    <row r="18" spans="1:15" hidden="1" x14ac:dyDescent="0.25">
      <c r="A18" s="47">
        <v>202007</v>
      </c>
      <c r="B18" s="47">
        <v>66</v>
      </c>
      <c r="C18" s="48" t="s">
        <v>112</v>
      </c>
      <c r="D18" s="48" t="s">
        <v>99</v>
      </c>
      <c r="E18" s="42" t="s">
        <v>99</v>
      </c>
      <c r="F18" s="42"/>
      <c r="G18" s="42"/>
      <c r="H18" s="1" t="b">
        <v>1</v>
      </c>
      <c r="I18" s="1" t="b">
        <v>0</v>
      </c>
      <c r="J18" s="1" t="b">
        <v>0</v>
      </c>
      <c r="K18" s="1" t="b">
        <v>0</v>
      </c>
      <c r="L18" s="1" t="b">
        <v>1</v>
      </c>
      <c r="M18" s="21">
        <v>19.88</v>
      </c>
      <c r="N18" s="21">
        <v>19.88</v>
      </c>
      <c r="O18" s="27">
        <f>IF(Cota_Demanda[[#This Row],[@-Garantido]]=TRUE,1,0)</f>
        <v>0</v>
      </c>
    </row>
    <row r="19" spans="1:15" hidden="1" x14ac:dyDescent="0.25">
      <c r="A19" s="47">
        <v>202007</v>
      </c>
      <c r="B19" s="47">
        <v>70</v>
      </c>
      <c r="C19" s="48" t="s">
        <v>112</v>
      </c>
      <c r="D19" s="48" t="s">
        <v>99</v>
      </c>
      <c r="E19" s="42" t="s">
        <v>99</v>
      </c>
      <c r="F19" s="42"/>
      <c r="G19" s="42"/>
      <c r="H19" s="1" t="b">
        <v>1</v>
      </c>
      <c r="I19" s="1" t="b">
        <v>0</v>
      </c>
      <c r="J19" s="1" t="b">
        <v>0</v>
      </c>
      <c r="K19" s="1" t="b">
        <v>0</v>
      </c>
      <c r="L19" s="1" t="b">
        <v>1</v>
      </c>
      <c r="M19" s="21">
        <v>10882.67</v>
      </c>
      <c r="N19" s="21">
        <v>0</v>
      </c>
      <c r="O19" s="27">
        <f>IF(Cota_Demanda[[#This Row],[@-Garantido]]=TRUE,1,0)</f>
        <v>0</v>
      </c>
    </row>
    <row r="20" spans="1:15" hidden="1" x14ac:dyDescent="0.25">
      <c r="A20" s="47">
        <v>202007</v>
      </c>
      <c r="B20" s="47">
        <v>73</v>
      </c>
      <c r="C20" s="48" t="s">
        <v>112</v>
      </c>
      <c r="D20" s="48" t="s">
        <v>99</v>
      </c>
      <c r="E20" s="42" t="s">
        <v>99</v>
      </c>
      <c r="F20" s="42"/>
      <c r="G20" s="42"/>
      <c r="H20" s="1" t="b">
        <v>1</v>
      </c>
      <c r="I20" s="1" t="b">
        <v>0</v>
      </c>
      <c r="J20" s="1" t="b">
        <v>0</v>
      </c>
      <c r="K20" s="1" t="b">
        <v>0</v>
      </c>
      <c r="L20" s="1" t="b">
        <v>1</v>
      </c>
      <c r="M20" s="21">
        <v>948</v>
      </c>
      <c r="N20" s="21">
        <v>948</v>
      </c>
      <c r="O20" s="27">
        <f>IF(Cota_Demanda[[#This Row],[@-Garantido]]=TRUE,1,0)</f>
        <v>0</v>
      </c>
    </row>
    <row r="21" spans="1:15" hidden="1" x14ac:dyDescent="0.25">
      <c r="A21" s="47">
        <v>202007</v>
      </c>
      <c r="B21" s="47">
        <v>66</v>
      </c>
      <c r="C21" s="48" t="s">
        <v>94</v>
      </c>
      <c r="D21" s="48" t="s">
        <v>100</v>
      </c>
      <c r="E21" s="42" t="s">
        <v>100</v>
      </c>
      <c r="F21" s="42"/>
      <c r="G21" s="42"/>
      <c r="H21" s="1" t="b">
        <v>1</v>
      </c>
      <c r="I21" s="1" t="b">
        <v>0</v>
      </c>
      <c r="J21" s="1" t="b">
        <v>0</v>
      </c>
      <c r="K21" s="1" t="b">
        <v>0</v>
      </c>
      <c r="L21" s="1" t="b">
        <v>1</v>
      </c>
      <c r="M21" s="21">
        <v>19.88</v>
      </c>
      <c r="N21" s="21">
        <v>19.88</v>
      </c>
      <c r="O21" s="27">
        <f>IF(Cota_Demanda[[#This Row],[@-Garantido]]=TRUE,1,0)</f>
        <v>0</v>
      </c>
    </row>
    <row r="22" spans="1:15" hidden="1" x14ac:dyDescent="0.25">
      <c r="A22" s="47">
        <v>202007</v>
      </c>
      <c r="B22" s="47">
        <v>70</v>
      </c>
      <c r="C22" s="48" t="s">
        <v>94</v>
      </c>
      <c r="D22" s="48" t="s">
        <v>100</v>
      </c>
      <c r="E22" s="42" t="s">
        <v>100</v>
      </c>
      <c r="F22" s="42"/>
      <c r="G22" s="42"/>
      <c r="H22" s="1" t="b">
        <v>1</v>
      </c>
      <c r="I22" s="1" t="b">
        <v>0</v>
      </c>
      <c r="J22" s="1" t="b">
        <v>0</v>
      </c>
      <c r="K22" s="1" t="b">
        <v>0</v>
      </c>
      <c r="L22" s="1" t="b">
        <v>1</v>
      </c>
      <c r="M22" s="21">
        <v>10202.5</v>
      </c>
      <c r="N22" s="21">
        <v>0</v>
      </c>
      <c r="O22" s="27">
        <f>IF(Cota_Demanda[[#This Row],[@-Garantido]]=TRUE,1,0)</f>
        <v>0</v>
      </c>
    </row>
    <row r="23" spans="1:15" hidden="1" x14ac:dyDescent="0.25">
      <c r="A23" s="47">
        <v>202007</v>
      </c>
      <c r="B23" s="47">
        <v>73</v>
      </c>
      <c r="C23" s="48" t="s">
        <v>94</v>
      </c>
      <c r="D23" s="48" t="s">
        <v>100</v>
      </c>
      <c r="E23" s="42" t="s">
        <v>100</v>
      </c>
      <c r="F23" s="42"/>
      <c r="G23" s="42"/>
      <c r="H23" s="1" t="b">
        <v>1</v>
      </c>
      <c r="I23" s="1" t="b">
        <v>0</v>
      </c>
      <c r="J23" s="1" t="b">
        <v>0</v>
      </c>
      <c r="K23" s="1" t="b">
        <v>0</v>
      </c>
      <c r="L23" s="1" t="b">
        <v>1</v>
      </c>
      <c r="M23" s="21">
        <v>1659</v>
      </c>
      <c r="N23" s="21">
        <v>1659</v>
      </c>
      <c r="O23" s="27">
        <f>IF(Cota_Demanda[[#This Row],[@-Garantido]]=TRUE,1,0)</f>
        <v>0</v>
      </c>
    </row>
    <row r="24" spans="1:15" x14ac:dyDescent="0.25">
      <c r="A24" s="47">
        <v>202007</v>
      </c>
      <c r="B24" s="47">
        <v>62</v>
      </c>
      <c r="C24" s="48" t="s">
        <v>94</v>
      </c>
      <c r="D24" s="48" t="s">
        <v>128</v>
      </c>
      <c r="E24" s="42"/>
      <c r="F24" s="42" t="s">
        <v>128</v>
      </c>
      <c r="G24" s="42"/>
      <c r="H24" s="1" t="b">
        <v>0</v>
      </c>
      <c r="I24" s="1" t="b">
        <v>1</v>
      </c>
      <c r="J24" s="1" t="b">
        <v>0</v>
      </c>
      <c r="K24" s="1" t="b">
        <v>0</v>
      </c>
      <c r="L24" s="1" t="b">
        <v>1</v>
      </c>
      <c r="M24" s="21">
        <v>84</v>
      </c>
      <c r="N24" s="21">
        <v>84</v>
      </c>
      <c r="O24" s="27">
        <f>IF(Cota_Demanda[[#This Row],[@-Garantido]]=TRUE,1,0)</f>
        <v>0</v>
      </c>
    </row>
    <row r="25" spans="1:15" x14ac:dyDescent="0.25">
      <c r="A25" s="47">
        <v>202007</v>
      </c>
      <c r="B25" s="47">
        <v>64</v>
      </c>
      <c r="C25" s="48" t="s">
        <v>94</v>
      </c>
      <c r="D25" s="48" t="s">
        <v>128</v>
      </c>
      <c r="E25" s="42"/>
      <c r="F25" s="42" t="s">
        <v>128</v>
      </c>
      <c r="G25" s="42"/>
      <c r="H25" s="1" t="b">
        <v>0</v>
      </c>
      <c r="I25" s="1" t="b">
        <v>1</v>
      </c>
      <c r="J25" s="1" t="b">
        <v>0</v>
      </c>
      <c r="K25" s="1" t="b">
        <v>0</v>
      </c>
      <c r="L25" s="1" t="b">
        <v>1</v>
      </c>
      <c r="M25" s="21">
        <v>64.5</v>
      </c>
      <c r="N25" s="21">
        <v>64.5</v>
      </c>
      <c r="O25" s="27">
        <f>IF(Cota_Demanda[[#This Row],[@-Garantido]]=TRUE,1,0)</f>
        <v>0</v>
      </c>
    </row>
    <row r="26" spans="1:15" x14ac:dyDescent="0.25">
      <c r="A26" s="47">
        <v>202007</v>
      </c>
      <c r="B26" s="47">
        <v>70</v>
      </c>
      <c r="C26" s="48" t="s">
        <v>94</v>
      </c>
      <c r="D26" s="48" t="s">
        <v>128</v>
      </c>
      <c r="E26" s="42"/>
      <c r="F26" s="42" t="s">
        <v>128</v>
      </c>
      <c r="G26" s="42"/>
      <c r="H26" s="1" t="b">
        <v>0</v>
      </c>
      <c r="I26" s="1" t="b">
        <v>1</v>
      </c>
      <c r="J26" s="1" t="b">
        <v>0</v>
      </c>
      <c r="K26" s="1" t="b">
        <v>0</v>
      </c>
      <c r="L26" s="1" t="b">
        <v>1</v>
      </c>
      <c r="M26" s="21">
        <v>11562.83</v>
      </c>
      <c r="N26" s="21">
        <v>11562.83</v>
      </c>
      <c r="O26" s="27">
        <f>IF(Cota_Demanda[[#This Row],[@-Garantido]]=TRUE,1,0)</f>
        <v>0</v>
      </c>
    </row>
    <row r="27" spans="1:15" hidden="1" x14ac:dyDescent="0.25">
      <c r="A27" s="47">
        <v>202007</v>
      </c>
      <c r="B27" s="47">
        <v>62</v>
      </c>
      <c r="C27" s="48" t="s">
        <v>94</v>
      </c>
      <c r="D27" s="48" t="s">
        <v>95</v>
      </c>
      <c r="E27" s="42"/>
      <c r="F27" s="42"/>
      <c r="G27" s="42" t="s">
        <v>95</v>
      </c>
      <c r="H27" s="1" t="b">
        <v>0</v>
      </c>
      <c r="I27" s="1" t="b">
        <v>0</v>
      </c>
      <c r="J27" s="1" t="b">
        <v>1</v>
      </c>
      <c r="K27" s="1" t="b">
        <v>0</v>
      </c>
      <c r="L27" s="1" t="b">
        <v>1</v>
      </c>
      <c r="M27" s="21">
        <v>63</v>
      </c>
      <c r="N27" s="21">
        <v>63</v>
      </c>
      <c r="O27" s="27">
        <f>IF(Cota_Demanda[[#This Row],[@-Garantido]]=TRUE,1,0)</f>
        <v>0</v>
      </c>
    </row>
    <row r="28" spans="1:15" hidden="1" x14ac:dyDescent="0.25">
      <c r="A28" s="47">
        <v>202007</v>
      </c>
      <c r="B28" s="47">
        <v>64</v>
      </c>
      <c r="C28" s="48" t="s">
        <v>94</v>
      </c>
      <c r="D28" s="48" t="s">
        <v>95</v>
      </c>
      <c r="E28" s="42"/>
      <c r="F28" s="42"/>
      <c r="G28" s="42" t="s">
        <v>95</v>
      </c>
      <c r="H28" s="1" t="b">
        <v>0</v>
      </c>
      <c r="I28" s="1" t="b">
        <v>0</v>
      </c>
      <c r="J28" s="1" t="b">
        <v>1</v>
      </c>
      <c r="K28" s="1" t="b">
        <v>0</v>
      </c>
      <c r="L28" s="1" t="b">
        <v>1</v>
      </c>
      <c r="M28" s="21">
        <v>64.5</v>
      </c>
      <c r="N28" s="21">
        <v>64.5</v>
      </c>
      <c r="O28" s="27">
        <f>IF(Cota_Demanda[[#This Row],[@-Garantido]]=TRUE,1,0)</f>
        <v>0</v>
      </c>
    </row>
    <row r="29" spans="1:15" hidden="1" x14ac:dyDescent="0.25">
      <c r="A29" s="47">
        <v>202007</v>
      </c>
      <c r="B29" s="47">
        <v>66</v>
      </c>
      <c r="C29" s="48" t="s">
        <v>94</v>
      </c>
      <c r="D29" s="48" t="s">
        <v>95</v>
      </c>
      <c r="E29" s="42"/>
      <c r="F29" s="42"/>
      <c r="G29" s="42" t="s">
        <v>95</v>
      </c>
      <c r="H29" s="1" t="b">
        <v>0</v>
      </c>
      <c r="I29" s="1" t="b">
        <v>0</v>
      </c>
      <c r="J29" s="1" t="b">
        <v>1</v>
      </c>
      <c r="K29" s="1" t="b">
        <v>0</v>
      </c>
      <c r="L29" s="1" t="b">
        <v>1</v>
      </c>
      <c r="M29" s="21">
        <v>19.88</v>
      </c>
      <c r="N29" s="21">
        <v>19.88</v>
      </c>
      <c r="O29" s="27">
        <f>IF(Cota_Demanda[[#This Row],[@-Garantido]]=TRUE,1,0)</f>
        <v>0</v>
      </c>
    </row>
    <row r="30" spans="1:15" hidden="1" x14ac:dyDescent="0.25">
      <c r="A30" s="47">
        <v>202007</v>
      </c>
      <c r="B30" s="47">
        <v>70</v>
      </c>
      <c r="C30" s="48" t="s">
        <v>94</v>
      </c>
      <c r="D30" s="48" t="s">
        <v>95</v>
      </c>
      <c r="E30" s="42"/>
      <c r="F30" s="42"/>
      <c r="G30" s="42" t="s">
        <v>95</v>
      </c>
      <c r="H30" s="1" t="b">
        <v>0</v>
      </c>
      <c r="I30" s="1" t="b">
        <v>0</v>
      </c>
      <c r="J30" s="1" t="b">
        <v>1</v>
      </c>
      <c r="K30" s="1" t="b">
        <v>0</v>
      </c>
      <c r="L30" s="1" t="b">
        <v>1</v>
      </c>
      <c r="M30" s="21">
        <v>4081</v>
      </c>
      <c r="N30" s="21">
        <v>0</v>
      </c>
      <c r="O30" s="27">
        <f>IF(Cota_Demanda[[#This Row],[@-Garantido]]=TRUE,1,0)</f>
        <v>0</v>
      </c>
    </row>
    <row r="31" spans="1:15" hidden="1" x14ac:dyDescent="0.25">
      <c r="A31" s="47">
        <v>202007</v>
      </c>
      <c r="B31" s="47">
        <v>73</v>
      </c>
      <c r="C31" s="48" t="s">
        <v>94</v>
      </c>
      <c r="D31" s="48" t="s">
        <v>95</v>
      </c>
      <c r="E31" s="42"/>
      <c r="F31" s="42"/>
      <c r="G31" s="42" t="s">
        <v>95</v>
      </c>
      <c r="H31" s="1" t="b">
        <v>0</v>
      </c>
      <c r="I31" s="1" t="b">
        <v>0</v>
      </c>
      <c r="J31" s="1" t="b">
        <v>1</v>
      </c>
      <c r="K31" s="1" t="b">
        <v>0</v>
      </c>
      <c r="L31" s="1" t="b">
        <v>1</v>
      </c>
      <c r="M31" s="21">
        <v>395</v>
      </c>
      <c r="N31" s="21">
        <v>395</v>
      </c>
      <c r="O31" s="27">
        <f>IF(Cota_Demanda[[#This Row],[@-Garantido]]=TRUE,1,0)</f>
        <v>0</v>
      </c>
    </row>
    <row r="32" spans="1:15" hidden="1" x14ac:dyDescent="0.25">
      <c r="A32" s="47">
        <v>202007</v>
      </c>
      <c r="B32" s="47">
        <v>66</v>
      </c>
      <c r="C32" s="48" t="s">
        <v>112</v>
      </c>
      <c r="D32" s="48" t="s">
        <v>101</v>
      </c>
      <c r="E32" s="42" t="s">
        <v>101</v>
      </c>
      <c r="F32" s="42"/>
      <c r="G32" s="42"/>
      <c r="H32" s="1" t="b">
        <v>1</v>
      </c>
      <c r="I32" s="1" t="b">
        <v>0</v>
      </c>
      <c r="J32" s="1" t="b">
        <v>0</v>
      </c>
      <c r="K32" s="1" t="b">
        <v>0</v>
      </c>
      <c r="L32" s="1" t="b">
        <v>1</v>
      </c>
      <c r="M32" s="21">
        <v>39.76</v>
      </c>
      <c r="N32" s="21">
        <v>39.76</v>
      </c>
      <c r="O32" s="27">
        <f>IF(Cota_Demanda[[#This Row],[@-Garantido]]=TRUE,1,0)</f>
        <v>0</v>
      </c>
    </row>
    <row r="33" spans="1:15" hidden="1" x14ac:dyDescent="0.25">
      <c r="A33" s="47">
        <v>202007</v>
      </c>
      <c r="B33" s="47">
        <v>70</v>
      </c>
      <c r="C33" s="48" t="s">
        <v>112</v>
      </c>
      <c r="D33" s="48" t="s">
        <v>101</v>
      </c>
      <c r="E33" s="42" t="s">
        <v>101</v>
      </c>
      <c r="F33" s="42"/>
      <c r="G33" s="42"/>
      <c r="H33" s="1" t="b">
        <v>1</v>
      </c>
      <c r="I33" s="1" t="b">
        <v>0</v>
      </c>
      <c r="J33" s="1" t="b">
        <v>0</v>
      </c>
      <c r="K33" s="1" t="b">
        <v>0</v>
      </c>
      <c r="L33" s="1" t="b">
        <v>1</v>
      </c>
      <c r="M33" s="21">
        <v>8842.17</v>
      </c>
      <c r="N33" s="21">
        <v>0</v>
      </c>
      <c r="O33" s="27">
        <f>IF(Cota_Demanda[[#This Row],[@-Garantido]]=TRUE,1,0)</f>
        <v>0</v>
      </c>
    </row>
    <row r="34" spans="1:15" hidden="1" x14ac:dyDescent="0.25">
      <c r="A34" s="47">
        <v>202007</v>
      </c>
      <c r="B34" s="47">
        <v>73</v>
      </c>
      <c r="C34" s="48" t="s">
        <v>112</v>
      </c>
      <c r="D34" s="48" t="s">
        <v>101</v>
      </c>
      <c r="E34" s="42" t="s">
        <v>101</v>
      </c>
      <c r="F34" s="42"/>
      <c r="G34" s="42"/>
      <c r="H34" s="1" t="b">
        <v>1</v>
      </c>
      <c r="I34" s="1" t="b">
        <v>0</v>
      </c>
      <c r="J34" s="1" t="b">
        <v>0</v>
      </c>
      <c r="K34" s="1" t="b">
        <v>0</v>
      </c>
      <c r="L34" s="1" t="b">
        <v>1</v>
      </c>
      <c r="M34" s="21">
        <v>948</v>
      </c>
      <c r="N34" s="21">
        <v>948</v>
      </c>
      <c r="O34" s="27">
        <f>IF(Cota_Demanda[[#This Row],[@-Garantido]]=TRUE,1,0)</f>
        <v>0</v>
      </c>
    </row>
    <row r="35" spans="1:15" x14ac:dyDescent="0.25">
      <c r="A35" s="47">
        <v>202007</v>
      </c>
      <c r="B35" s="47">
        <v>62</v>
      </c>
      <c r="C35" s="48" t="s">
        <v>96</v>
      </c>
      <c r="D35" s="48" t="s">
        <v>122</v>
      </c>
      <c r="E35" s="42"/>
      <c r="F35" s="42" t="s">
        <v>122</v>
      </c>
      <c r="G35" s="42"/>
      <c r="H35" s="1" t="b">
        <v>0</v>
      </c>
      <c r="I35" s="1" t="b">
        <v>1</v>
      </c>
      <c r="J35" s="1" t="b">
        <v>0</v>
      </c>
      <c r="K35" s="1" t="b">
        <v>0</v>
      </c>
      <c r="L35" s="1" t="b">
        <v>1</v>
      </c>
      <c r="M35" s="21">
        <v>105</v>
      </c>
      <c r="N35" s="21">
        <v>105</v>
      </c>
      <c r="O35" s="27">
        <f>IF(Cota_Demanda[[#This Row],[@-Garantido]]=TRUE,1,0)</f>
        <v>0</v>
      </c>
    </row>
    <row r="36" spans="1:15" x14ac:dyDescent="0.25">
      <c r="A36" s="47">
        <v>202007</v>
      </c>
      <c r="B36" s="47">
        <v>64</v>
      </c>
      <c r="C36" s="48" t="s">
        <v>96</v>
      </c>
      <c r="D36" s="48" t="s">
        <v>122</v>
      </c>
      <c r="E36" s="42"/>
      <c r="F36" s="42" t="s">
        <v>122</v>
      </c>
      <c r="G36" s="42"/>
      <c r="H36" s="1" t="b">
        <v>0</v>
      </c>
      <c r="I36" s="1" t="b">
        <v>1</v>
      </c>
      <c r="J36" s="1" t="b">
        <v>0</v>
      </c>
      <c r="K36" s="1" t="b">
        <v>0</v>
      </c>
      <c r="L36" s="1" t="b">
        <v>1</v>
      </c>
      <c r="M36" s="21">
        <v>236.5</v>
      </c>
      <c r="N36" s="21">
        <v>236.5</v>
      </c>
      <c r="O36" s="27">
        <f>IF(Cota_Demanda[[#This Row],[@-Garantido]]=TRUE,1,0)</f>
        <v>0</v>
      </c>
    </row>
    <row r="37" spans="1:15" x14ac:dyDescent="0.25">
      <c r="A37" s="47">
        <v>202007</v>
      </c>
      <c r="B37" s="47">
        <v>70</v>
      </c>
      <c r="C37" s="48" t="s">
        <v>96</v>
      </c>
      <c r="D37" s="48" t="s">
        <v>122</v>
      </c>
      <c r="E37" s="42"/>
      <c r="F37" s="42" t="s">
        <v>122</v>
      </c>
      <c r="G37" s="42"/>
      <c r="H37" s="1" t="b">
        <v>0</v>
      </c>
      <c r="I37" s="1" t="b">
        <v>1</v>
      </c>
      <c r="J37" s="1" t="b">
        <v>0</v>
      </c>
      <c r="K37" s="1" t="b">
        <v>0</v>
      </c>
      <c r="L37" s="1" t="b">
        <v>1</v>
      </c>
      <c r="M37" s="21">
        <v>4761.17</v>
      </c>
      <c r="N37" s="21">
        <v>4761.17</v>
      </c>
      <c r="O37" s="27">
        <f>IF(Cota_Demanda[[#This Row],[@-Garantido]]=TRUE,1,0)</f>
        <v>0</v>
      </c>
    </row>
    <row r="38" spans="1:15" x14ac:dyDescent="0.25">
      <c r="A38" s="47">
        <v>202007</v>
      </c>
      <c r="B38" s="47">
        <v>62</v>
      </c>
      <c r="C38" s="48" t="s">
        <v>96</v>
      </c>
      <c r="D38" s="48" t="s">
        <v>117</v>
      </c>
      <c r="E38" s="42"/>
      <c r="F38" s="42" t="s">
        <v>117</v>
      </c>
      <c r="G38" s="42"/>
      <c r="H38" s="1" t="b">
        <v>0</v>
      </c>
      <c r="I38" s="1" t="b">
        <v>1</v>
      </c>
      <c r="J38" s="1" t="b">
        <v>0</v>
      </c>
      <c r="K38" s="1" t="b">
        <v>0</v>
      </c>
      <c r="L38" s="1" t="b">
        <v>1</v>
      </c>
      <c r="M38" s="21">
        <v>273</v>
      </c>
      <c r="N38" s="21">
        <v>273</v>
      </c>
      <c r="O38" s="27">
        <f>IF(Cota_Demanda[[#This Row],[@-Garantido]]=TRUE,1,0)</f>
        <v>0</v>
      </c>
    </row>
    <row r="39" spans="1:15" x14ac:dyDescent="0.25">
      <c r="A39" s="47">
        <v>202007</v>
      </c>
      <c r="B39" s="47">
        <v>64</v>
      </c>
      <c r="C39" s="48" t="s">
        <v>96</v>
      </c>
      <c r="D39" s="48" t="s">
        <v>117</v>
      </c>
      <c r="E39" s="42"/>
      <c r="F39" s="42" t="s">
        <v>117</v>
      </c>
      <c r="G39" s="42"/>
      <c r="H39" s="1" t="b">
        <v>0</v>
      </c>
      <c r="I39" s="1" t="b">
        <v>1</v>
      </c>
      <c r="J39" s="1" t="b">
        <v>0</v>
      </c>
      <c r="K39" s="1" t="b">
        <v>0</v>
      </c>
      <c r="L39" s="1" t="b">
        <v>1</v>
      </c>
      <c r="M39" s="21">
        <v>107.5</v>
      </c>
      <c r="N39" s="21">
        <v>107.5</v>
      </c>
      <c r="O39" s="27">
        <f>IF(Cota_Demanda[[#This Row],[@-Garantido]]=TRUE,1,0)</f>
        <v>0</v>
      </c>
    </row>
    <row r="40" spans="1:15" x14ac:dyDescent="0.25">
      <c r="A40" s="47">
        <v>202007</v>
      </c>
      <c r="B40" s="47">
        <v>70</v>
      </c>
      <c r="C40" s="48" t="s">
        <v>96</v>
      </c>
      <c r="D40" s="48" t="s">
        <v>117</v>
      </c>
      <c r="E40" s="42"/>
      <c r="F40" s="42" t="s">
        <v>117</v>
      </c>
      <c r="G40" s="42"/>
      <c r="H40" s="1" t="b">
        <v>0</v>
      </c>
      <c r="I40" s="1" t="b">
        <v>1</v>
      </c>
      <c r="J40" s="1" t="b">
        <v>0</v>
      </c>
      <c r="K40" s="1" t="b">
        <v>0</v>
      </c>
      <c r="L40" s="1" t="b">
        <v>1</v>
      </c>
      <c r="M40" s="21">
        <v>2040.5</v>
      </c>
      <c r="N40" s="21">
        <v>2040.5</v>
      </c>
      <c r="O40" s="27">
        <f>IF(Cota_Demanda[[#This Row],[@-Garantido]]=TRUE,1,0)</f>
        <v>0</v>
      </c>
    </row>
    <row r="41" spans="1:15" x14ac:dyDescent="0.25">
      <c r="A41" s="47">
        <v>202007</v>
      </c>
      <c r="B41" s="47">
        <v>62</v>
      </c>
      <c r="C41" s="48" t="s">
        <v>96</v>
      </c>
      <c r="D41" s="48" t="s">
        <v>130</v>
      </c>
      <c r="E41" s="42"/>
      <c r="F41" s="42" t="s">
        <v>130</v>
      </c>
      <c r="G41" s="42"/>
      <c r="H41" s="1" t="b">
        <v>0</v>
      </c>
      <c r="I41" s="1" t="b">
        <v>1</v>
      </c>
      <c r="J41" s="1" t="b">
        <v>0</v>
      </c>
      <c r="K41" s="1" t="b">
        <v>0</v>
      </c>
      <c r="L41" s="1" t="b">
        <v>1</v>
      </c>
      <c r="M41" s="21">
        <v>126</v>
      </c>
      <c r="N41" s="21">
        <v>126</v>
      </c>
      <c r="O41" s="27">
        <f>IF(Cota_Demanda[[#This Row],[@-Garantido]]=TRUE,1,0)</f>
        <v>0</v>
      </c>
    </row>
    <row r="42" spans="1:15" x14ac:dyDescent="0.25">
      <c r="A42" s="47">
        <v>202007</v>
      </c>
      <c r="B42" s="47">
        <v>64</v>
      </c>
      <c r="C42" s="48" t="s">
        <v>96</v>
      </c>
      <c r="D42" s="48" t="s">
        <v>130</v>
      </c>
      <c r="E42" s="42"/>
      <c r="F42" s="42" t="s">
        <v>130</v>
      </c>
      <c r="G42" s="42"/>
      <c r="H42" s="1" t="b">
        <v>0</v>
      </c>
      <c r="I42" s="1" t="b">
        <v>1</v>
      </c>
      <c r="J42" s="1" t="b">
        <v>0</v>
      </c>
      <c r="K42" s="1" t="b">
        <v>0</v>
      </c>
      <c r="L42" s="1" t="b">
        <v>1</v>
      </c>
      <c r="M42" s="21">
        <v>172</v>
      </c>
      <c r="N42" s="21">
        <v>172</v>
      </c>
      <c r="O42" s="27">
        <f>IF(Cota_Demanda[[#This Row],[@-Garantido]]=TRUE,1,0)</f>
        <v>0</v>
      </c>
    </row>
    <row r="43" spans="1:15" x14ac:dyDescent="0.25">
      <c r="A43" s="47">
        <v>202007</v>
      </c>
      <c r="B43" s="47">
        <v>70</v>
      </c>
      <c r="C43" s="48" t="s">
        <v>96</v>
      </c>
      <c r="D43" s="48" t="s">
        <v>130</v>
      </c>
      <c r="E43" s="42"/>
      <c r="F43" s="42" t="s">
        <v>130</v>
      </c>
      <c r="G43" s="42"/>
      <c r="H43" s="1" t="b">
        <v>0</v>
      </c>
      <c r="I43" s="1" t="b">
        <v>1</v>
      </c>
      <c r="J43" s="1" t="b">
        <v>0</v>
      </c>
      <c r="K43" s="1" t="b">
        <v>0</v>
      </c>
      <c r="L43" s="1" t="b">
        <v>1</v>
      </c>
      <c r="M43" s="21">
        <v>4081</v>
      </c>
      <c r="N43" s="21">
        <v>4081</v>
      </c>
      <c r="O43" s="27">
        <f>IF(Cota_Demanda[[#This Row],[@-Garantido]]=TRUE,1,0)</f>
        <v>0</v>
      </c>
    </row>
    <row r="44" spans="1:15" x14ac:dyDescent="0.25">
      <c r="A44" s="47">
        <v>202007</v>
      </c>
      <c r="B44" s="47">
        <v>62</v>
      </c>
      <c r="C44" s="48" t="s">
        <v>96</v>
      </c>
      <c r="D44" s="48" t="s">
        <v>129</v>
      </c>
      <c r="E44" s="42"/>
      <c r="F44" s="42" t="s">
        <v>129</v>
      </c>
      <c r="G44" s="42"/>
      <c r="H44" s="1" t="b">
        <v>0</v>
      </c>
      <c r="I44" s="1" t="b">
        <v>1</v>
      </c>
      <c r="J44" s="1" t="b">
        <v>0</v>
      </c>
      <c r="K44" s="1" t="b">
        <v>0</v>
      </c>
      <c r="L44" s="1" t="b">
        <v>1</v>
      </c>
      <c r="M44" s="21">
        <v>63</v>
      </c>
      <c r="N44" s="21">
        <v>63</v>
      </c>
      <c r="O44" s="27">
        <f>IF(Cota_Demanda[[#This Row],[@-Garantido]]=TRUE,1,0)</f>
        <v>0</v>
      </c>
    </row>
    <row r="45" spans="1:15" x14ac:dyDescent="0.25">
      <c r="A45" s="47">
        <v>202007</v>
      </c>
      <c r="B45" s="47">
        <v>64</v>
      </c>
      <c r="C45" s="48" t="s">
        <v>96</v>
      </c>
      <c r="D45" s="48" t="s">
        <v>129</v>
      </c>
      <c r="E45" s="42"/>
      <c r="F45" s="42" t="s">
        <v>129</v>
      </c>
      <c r="G45" s="42"/>
      <c r="H45" s="1" t="b">
        <v>0</v>
      </c>
      <c r="I45" s="1" t="b">
        <v>1</v>
      </c>
      <c r="J45" s="1" t="b">
        <v>0</v>
      </c>
      <c r="K45" s="1" t="b">
        <v>0</v>
      </c>
      <c r="L45" s="1" t="b">
        <v>1</v>
      </c>
      <c r="M45" s="21">
        <v>258</v>
      </c>
      <c r="N45" s="21">
        <v>258</v>
      </c>
      <c r="O45" s="27">
        <f>IF(Cota_Demanda[[#This Row],[@-Garantido]]=TRUE,1,0)</f>
        <v>0</v>
      </c>
    </row>
    <row r="46" spans="1:15" x14ac:dyDescent="0.25">
      <c r="A46" s="47">
        <v>202007</v>
      </c>
      <c r="B46" s="47">
        <v>70</v>
      </c>
      <c r="C46" s="48" t="s">
        <v>96</v>
      </c>
      <c r="D46" s="48" t="s">
        <v>129</v>
      </c>
      <c r="E46" s="42"/>
      <c r="F46" s="42" t="s">
        <v>129</v>
      </c>
      <c r="G46" s="42"/>
      <c r="H46" s="1" t="b">
        <v>0</v>
      </c>
      <c r="I46" s="1" t="b">
        <v>1</v>
      </c>
      <c r="J46" s="1" t="b">
        <v>0</v>
      </c>
      <c r="K46" s="1" t="b">
        <v>0</v>
      </c>
      <c r="L46" s="1" t="b">
        <v>1</v>
      </c>
      <c r="M46" s="21">
        <v>2040.5</v>
      </c>
      <c r="N46" s="21">
        <v>2040.5</v>
      </c>
      <c r="O46" s="27">
        <f>IF(Cota_Demanda[[#This Row],[@-Garantido]]=TRUE,1,0)</f>
        <v>0</v>
      </c>
    </row>
    <row r="47" spans="1:15" x14ac:dyDescent="0.25">
      <c r="A47" s="47">
        <v>202007</v>
      </c>
      <c r="B47" s="47">
        <v>62</v>
      </c>
      <c r="C47" s="48" t="s">
        <v>94</v>
      </c>
      <c r="D47" s="48" t="s">
        <v>124</v>
      </c>
      <c r="E47" s="42"/>
      <c r="F47" s="42" t="s">
        <v>124</v>
      </c>
      <c r="G47" s="42"/>
      <c r="H47" s="1" t="b">
        <v>0</v>
      </c>
      <c r="I47" s="1" t="b">
        <v>1</v>
      </c>
      <c r="J47" s="1" t="b">
        <v>0</v>
      </c>
      <c r="K47" s="1" t="b">
        <v>0</v>
      </c>
      <c r="L47" s="1" t="b">
        <v>1</v>
      </c>
      <c r="M47" s="21">
        <v>126</v>
      </c>
      <c r="N47" s="21">
        <v>126</v>
      </c>
      <c r="O47" s="27">
        <f>IF(Cota_Demanda[[#This Row],[@-Garantido]]=TRUE,1,0)</f>
        <v>0</v>
      </c>
    </row>
    <row r="48" spans="1:15" x14ac:dyDescent="0.25">
      <c r="A48" s="47">
        <v>202007</v>
      </c>
      <c r="B48" s="47">
        <v>64</v>
      </c>
      <c r="C48" s="48" t="s">
        <v>94</v>
      </c>
      <c r="D48" s="48" t="s">
        <v>124</v>
      </c>
      <c r="E48" s="42"/>
      <c r="F48" s="42" t="s">
        <v>124</v>
      </c>
      <c r="G48" s="42"/>
      <c r="H48" s="1" t="b">
        <v>0</v>
      </c>
      <c r="I48" s="1" t="b">
        <v>1</v>
      </c>
      <c r="J48" s="1" t="b">
        <v>0</v>
      </c>
      <c r="K48" s="1" t="b">
        <v>0</v>
      </c>
      <c r="L48" s="1" t="b">
        <v>1</v>
      </c>
      <c r="M48" s="21">
        <v>107.5</v>
      </c>
      <c r="N48" s="21">
        <v>107.5</v>
      </c>
      <c r="O48" s="27">
        <f>IF(Cota_Demanda[[#This Row],[@-Garantido]]=TRUE,1,0)</f>
        <v>0</v>
      </c>
    </row>
    <row r="49" spans="1:15" x14ac:dyDescent="0.25">
      <c r="A49" s="47">
        <v>202007</v>
      </c>
      <c r="B49" s="47">
        <v>70</v>
      </c>
      <c r="C49" s="48" t="s">
        <v>94</v>
      </c>
      <c r="D49" s="48" t="s">
        <v>124</v>
      </c>
      <c r="E49" s="42"/>
      <c r="F49" s="42" t="s">
        <v>124</v>
      </c>
      <c r="G49" s="42"/>
      <c r="H49" s="1" t="b">
        <v>0</v>
      </c>
      <c r="I49" s="1" t="b">
        <v>1</v>
      </c>
      <c r="J49" s="1" t="b">
        <v>0</v>
      </c>
      <c r="K49" s="1" t="b">
        <v>0</v>
      </c>
      <c r="L49" s="1" t="b">
        <v>1</v>
      </c>
      <c r="M49" s="21">
        <v>4081</v>
      </c>
      <c r="N49" s="21">
        <v>4081</v>
      </c>
      <c r="O49" s="27">
        <f>IF(Cota_Demanda[[#This Row],[@-Garantido]]=TRUE,1,0)</f>
        <v>0</v>
      </c>
    </row>
    <row r="50" spans="1:15" hidden="1" x14ac:dyDescent="0.25">
      <c r="A50" s="47">
        <v>202007</v>
      </c>
      <c r="B50" s="47">
        <v>66</v>
      </c>
      <c r="C50" s="48" t="s">
        <v>94</v>
      </c>
      <c r="D50" s="48" t="s">
        <v>102</v>
      </c>
      <c r="E50" s="42" t="s">
        <v>102</v>
      </c>
      <c r="F50" s="42"/>
      <c r="G50" s="42"/>
      <c r="H50" s="1" t="b">
        <v>1</v>
      </c>
      <c r="I50" s="1" t="b">
        <v>0</v>
      </c>
      <c r="J50" s="1" t="b">
        <v>0</v>
      </c>
      <c r="K50" s="1" t="b">
        <v>0</v>
      </c>
      <c r="L50" s="1" t="b">
        <v>1</v>
      </c>
      <c r="M50" s="21">
        <v>159.04</v>
      </c>
      <c r="N50" s="21">
        <v>159.04</v>
      </c>
      <c r="O50" s="27">
        <f>IF(Cota_Demanda[[#This Row],[@-Garantido]]=TRUE,1,0)</f>
        <v>0</v>
      </c>
    </row>
    <row r="51" spans="1:15" hidden="1" x14ac:dyDescent="0.25">
      <c r="A51" s="47">
        <v>202007</v>
      </c>
      <c r="B51" s="47">
        <v>70</v>
      </c>
      <c r="C51" s="48" t="s">
        <v>94</v>
      </c>
      <c r="D51" s="48" t="s">
        <v>102</v>
      </c>
      <c r="E51" s="42" t="s">
        <v>102</v>
      </c>
      <c r="F51" s="42"/>
      <c r="G51" s="42"/>
      <c r="H51" s="1" t="b">
        <v>1</v>
      </c>
      <c r="I51" s="1" t="b">
        <v>0</v>
      </c>
      <c r="J51" s="1" t="b">
        <v>0</v>
      </c>
      <c r="K51" s="1" t="b">
        <v>0</v>
      </c>
      <c r="L51" s="1" t="b">
        <v>1</v>
      </c>
      <c r="M51" s="21">
        <v>16324</v>
      </c>
      <c r="N51" s="21">
        <v>0</v>
      </c>
      <c r="O51" s="27">
        <f>IF(Cota_Demanda[[#This Row],[@-Garantido]]=TRUE,1,0)</f>
        <v>0</v>
      </c>
    </row>
    <row r="52" spans="1:15" hidden="1" x14ac:dyDescent="0.25">
      <c r="A52" s="47">
        <v>202007</v>
      </c>
      <c r="B52" s="47">
        <v>73</v>
      </c>
      <c r="C52" s="48" t="s">
        <v>94</v>
      </c>
      <c r="D52" s="48" t="s">
        <v>102</v>
      </c>
      <c r="E52" s="42" t="s">
        <v>102</v>
      </c>
      <c r="F52" s="42"/>
      <c r="G52" s="42"/>
      <c r="H52" s="1" t="b">
        <v>1</v>
      </c>
      <c r="I52" s="1" t="b">
        <v>0</v>
      </c>
      <c r="J52" s="1" t="b">
        <v>0</v>
      </c>
      <c r="K52" s="1" t="b">
        <v>0</v>
      </c>
      <c r="L52" s="1" t="b">
        <v>1</v>
      </c>
      <c r="M52" s="21">
        <v>1027</v>
      </c>
      <c r="N52" s="21">
        <v>1027</v>
      </c>
      <c r="O52" s="27">
        <f>IF(Cota_Demanda[[#This Row],[@-Garantido]]=TRUE,1,0)</f>
        <v>0</v>
      </c>
    </row>
    <row r="53" spans="1:15" x14ac:dyDescent="0.25">
      <c r="A53" s="47">
        <v>202007</v>
      </c>
      <c r="B53" s="47">
        <v>62</v>
      </c>
      <c r="C53" s="48" t="s">
        <v>94</v>
      </c>
      <c r="D53" s="48" t="s">
        <v>127</v>
      </c>
      <c r="E53" s="42"/>
      <c r="F53" s="42" t="s">
        <v>127</v>
      </c>
      <c r="G53" s="42"/>
      <c r="H53" s="1" t="b">
        <v>0</v>
      </c>
      <c r="I53" s="1" t="b">
        <v>1</v>
      </c>
      <c r="J53" s="1" t="b">
        <v>0</v>
      </c>
      <c r="K53" s="1" t="b">
        <v>0</v>
      </c>
      <c r="L53" s="1" t="b">
        <v>1</v>
      </c>
      <c r="M53" s="21">
        <v>252</v>
      </c>
      <c r="N53" s="21">
        <v>252</v>
      </c>
      <c r="O53" s="27">
        <f>IF(Cota_Demanda[[#This Row],[@-Garantido]]=TRUE,1,0)</f>
        <v>0</v>
      </c>
    </row>
    <row r="54" spans="1:15" x14ac:dyDescent="0.25">
      <c r="A54" s="47">
        <v>202007</v>
      </c>
      <c r="B54" s="47">
        <v>64</v>
      </c>
      <c r="C54" s="48" t="s">
        <v>94</v>
      </c>
      <c r="D54" s="48" t="s">
        <v>127</v>
      </c>
      <c r="E54" s="42"/>
      <c r="F54" s="42" t="s">
        <v>127</v>
      </c>
      <c r="G54" s="42"/>
      <c r="H54" s="1" t="b">
        <v>0</v>
      </c>
      <c r="I54" s="1" t="b">
        <v>1</v>
      </c>
      <c r="J54" s="1" t="b">
        <v>0</v>
      </c>
      <c r="K54" s="1" t="b">
        <v>0</v>
      </c>
      <c r="L54" s="1" t="b">
        <v>1</v>
      </c>
      <c r="M54" s="21">
        <v>236.5</v>
      </c>
      <c r="N54" s="21">
        <v>236.5</v>
      </c>
      <c r="O54" s="27">
        <f>IF(Cota_Demanda[[#This Row],[@-Garantido]]=TRUE,1,0)</f>
        <v>0</v>
      </c>
    </row>
    <row r="55" spans="1:15" x14ac:dyDescent="0.25">
      <c r="A55" s="47">
        <v>202007</v>
      </c>
      <c r="B55" s="47">
        <v>70</v>
      </c>
      <c r="C55" s="48" t="s">
        <v>94</v>
      </c>
      <c r="D55" s="48" t="s">
        <v>127</v>
      </c>
      <c r="E55" s="42"/>
      <c r="F55" s="42" t="s">
        <v>127</v>
      </c>
      <c r="G55" s="42"/>
      <c r="H55" s="1" t="b">
        <v>0</v>
      </c>
      <c r="I55" s="1" t="b">
        <v>1</v>
      </c>
      <c r="J55" s="1" t="b">
        <v>0</v>
      </c>
      <c r="K55" s="1" t="b">
        <v>0</v>
      </c>
      <c r="L55" s="1" t="b">
        <v>1</v>
      </c>
      <c r="M55" s="21">
        <v>6121.5</v>
      </c>
      <c r="N55" s="21">
        <v>6121.5</v>
      </c>
      <c r="O55" s="27">
        <f>IF(Cota_Demanda[[#This Row],[@-Garantido]]=TRUE,1,0)</f>
        <v>0</v>
      </c>
    </row>
    <row r="56" spans="1:15" x14ac:dyDescent="0.25">
      <c r="A56" s="47">
        <v>202007</v>
      </c>
      <c r="B56" s="47">
        <v>62</v>
      </c>
      <c r="C56" s="48" t="s">
        <v>112</v>
      </c>
      <c r="D56" s="48" t="s">
        <v>113</v>
      </c>
      <c r="E56" s="42"/>
      <c r="F56" s="42" t="s">
        <v>113</v>
      </c>
      <c r="G56" s="42"/>
      <c r="H56" s="1" t="b">
        <v>0</v>
      </c>
      <c r="I56" s="1" t="b">
        <v>1</v>
      </c>
      <c r="J56" s="1" t="b">
        <v>0</v>
      </c>
      <c r="K56" s="1" t="b">
        <v>0</v>
      </c>
      <c r="L56" s="1" t="b">
        <v>1</v>
      </c>
      <c r="M56" s="21">
        <v>168</v>
      </c>
      <c r="N56" s="21">
        <v>168</v>
      </c>
      <c r="O56" s="27">
        <f>IF(Cota_Demanda[[#This Row],[@-Garantido]]=TRUE,1,0)</f>
        <v>0</v>
      </c>
    </row>
    <row r="57" spans="1:15" x14ac:dyDescent="0.25">
      <c r="A57" s="47">
        <v>202007</v>
      </c>
      <c r="B57" s="47">
        <v>64</v>
      </c>
      <c r="C57" s="48" t="s">
        <v>112</v>
      </c>
      <c r="D57" s="48" t="s">
        <v>113</v>
      </c>
      <c r="E57" s="42"/>
      <c r="F57" s="42" t="s">
        <v>113</v>
      </c>
      <c r="G57" s="42"/>
      <c r="H57" s="1" t="b">
        <v>0</v>
      </c>
      <c r="I57" s="1" t="b">
        <v>1</v>
      </c>
      <c r="J57" s="1" t="b">
        <v>0</v>
      </c>
      <c r="K57" s="1" t="b">
        <v>0</v>
      </c>
      <c r="L57" s="1" t="b">
        <v>1</v>
      </c>
      <c r="M57" s="21">
        <v>215</v>
      </c>
      <c r="N57" s="21">
        <v>215</v>
      </c>
      <c r="O57" s="27">
        <f>IF(Cota_Demanda[[#This Row],[@-Garantido]]=TRUE,1,0)</f>
        <v>0</v>
      </c>
    </row>
    <row r="58" spans="1:15" x14ac:dyDescent="0.25">
      <c r="A58" s="47">
        <v>202007</v>
      </c>
      <c r="B58" s="47">
        <v>70</v>
      </c>
      <c r="C58" s="48" t="s">
        <v>112</v>
      </c>
      <c r="D58" s="48" t="s">
        <v>113</v>
      </c>
      <c r="E58" s="42"/>
      <c r="F58" s="42" t="s">
        <v>113</v>
      </c>
      <c r="G58" s="42"/>
      <c r="H58" s="1" t="b">
        <v>0</v>
      </c>
      <c r="I58" s="1" t="b">
        <v>1</v>
      </c>
      <c r="J58" s="1" t="b">
        <v>0</v>
      </c>
      <c r="K58" s="1" t="b">
        <v>0</v>
      </c>
      <c r="L58" s="1" t="b">
        <v>1</v>
      </c>
      <c r="M58" s="21">
        <v>7481.83</v>
      </c>
      <c r="N58" s="21">
        <v>7481.83</v>
      </c>
      <c r="O58" s="27">
        <f>IF(Cota_Demanda[[#This Row],[@-Garantido]]=TRUE,1,0)</f>
        <v>0</v>
      </c>
    </row>
    <row r="59" spans="1:15" x14ac:dyDescent="0.25">
      <c r="A59" s="47">
        <v>202007</v>
      </c>
      <c r="B59" s="47">
        <v>62</v>
      </c>
      <c r="C59" s="48" t="s">
        <v>112</v>
      </c>
      <c r="D59" s="48" t="s">
        <v>134</v>
      </c>
      <c r="E59" s="42"/>
      <c r="F59" s="42" t="s">
        <v>134</v>
      </c>
      <c r="G59" s="42"/>
      <c r="H59" s="1" t="b">
        <v>0</v>
      </c>
      <c r="I59" s="1" t="b">
        <v>1</v>
      </c>
      <c r="J59" s="1" t="b">
        <v>0</v>
      </c>
      <c r="K59" s="1" t="b">
        <v>0</v>
      </c>
      <c r="L59" s="1" t="b">
        <v>1</v>
      </c>
      <c r="M59" s="21">
        <v>252</v>
      </c>
      <c r="N59" s="21">
        <v>252</v>
      </c>
      <c r="O59" s="27">
        <f>IF(Cota_Demanda[[#This Row],[@-Garantido]]=TRUE,1,0)</f>
        <v>0</v>
      </c>
    </row>
    <row r="60" spans="1:15" x14ac:dyDescent="0.25">
      <c r="A60" s="47">
        <v>202007</v>
      </c>
      <c r="B60" s="47">
        <v>64</v>
      </c>
      <c r="C60" s="48" t="s">
        <v>112</v>
      </c>
      <c r="D60" s="48" t="s">
        <v>134</v>
      </c>
      <c r="E60" s="42"/>
      <c r="F60" s="42" t="s">
        <v>134</v>
      </c>
      <c r="G60" s="42"/>
      <c r="H60" s="1" t="b">
        <v>0</v>
      </c>
      <c r="I60" s="1" t="b">
        <v>1</v>
      </c>
      <c r="J60" s="1" t="b">
        <v>0</v>
      </c>
      <c r="K60" s="1" t="b">
        <v>0</v>
      </c>
      <c r="L60" s="1" t="b">
        <v>1</v>
      </c>
      <c r="M60" s="21">
        <v>193.5</v>
      </c>
      <c r="N60" s="21">
        <v>193.5</v>
      </c>
      <c r="O60" s="27">
        <f>IF(Cota_Demanda[[#This Row],[@-Garantido]]=TRUE,1,0)</f>
        <v>0</v>
      </c>
    </row>
    <row r="61" spans="1:15" x14ac:dyDescent="0.25">
      <c r="A61" s="47">
        <v>202007</v>
      </c>
      <c r="B61" s="47">
        <v>70</v>
      </c>
      <c r="C61" s="48" t="s">
        <v>112</v>
      </c>
      <c r="D61" s="48" t="s">
        <v>134</v>
      </c>
      <c r="E61" s="42"/>
      <c r="F61" s="42" t="s">
        <v>134</v>
      </c>
      <c r="G61" s="42"/>
      <c r="H61" s="1" t="b">
        <v>0</v>
      </c>
      <c r="I61" s="1" t="b">
        <v>1</v>
      </c>
      <c r="J61" s="1" t="b">
        <v>0</v>
      </c>
      <c r="K61" s="1" t="b">
        <v>0</v>
      </c>
      <c r="L61" s="1" t="b">
        <v>1</v>
      </c>
      <c r="M61" s="21">
        <v>6801.67</v>
      </c>
      <c r="N61" s="21">
        <v>6801.67</v>
      </c>
      <c r="O61" s="27">
        <f>IF(Cota_Demanda[[#This Row],[@-Garantido]]=TRUE,1,0)</f>
        <v>0</v>
      </c>
    </row>
    <row r="62" spans="1:15" hidden="1" x14ac:dyDescent="0.25">
      <c r="A62" s="47">
        <v>202007</v>
      </c>
      <c r="B62" s="47">
        <v>66</v>
      </c>
      <c r="C62" s="48" t="s">
        <v>96</v>
      </c>
      <c r="D62" s="48" t="s">
        <v>103</v>
      </c>
      <c r="E62" s="42" t="s">
        <v>103</v>
      </c>
      <c r="F62" s="42"/>
      <c r="G62" s="42"/>
      <c r="H62" s="1" t="b">
        <v>1</v>
      </c>
      <c r="I62" s="1" t="b">
        <v>0</v>
      </c>
      <c r="J62" s="1" t="b">
        <v>0</v>
      </c>
      <c r="K62" s="1" t="b">
        <v>0</v>
      </c>
      <c r="L62" s="1" t="b">
        <v>1</v>
      </c>
      <c r="M62" s="21">
        <v>99.4</v>
      </c>
      <c r="N62" s="21">
        <v>99.4</v>
      </c>
      <c r="O62" s="27">
        <f>IF(Cota_Demanda[[#This Row],[@-Garantido]]=TRUE,1,0)</f>
        <v>0</v>
      </c>
    </row>
    <row r="63" spans="1:15" hidden="1" x14ac:dyDescent="0.25">
      <c r="A63" s="47">
        <v>202007</v>
      </c>
      <c r="B63" s="47">
        <v>70</v>
      </c>
      <c r="C63" s="48" t="s">
        <v>96</v>
      </c>
      <c r="D63" s="48" t="s">
        <v>103</v>
      </c>
      <c r="E63" s="42" t="s">
        <v>103</v>
      </c>
      <c r="F63" s="42"/>
      <c r="G63" s="42"/>
      <c r="H63" s="1" t="b">
        <v>1</v>
      </c>
      <c r="I63" s="1" t="b">
        <v>0</v>
      </c>
      <c r="J63" s="1" t="b">
        <v>0</v>
      </c>
      <c r="K63" s="1" t="b">
        <v>0</v>
      </c>
      <c r="L63" s="1" t="b">
        <v>1</v>
      </c>
      <c r="M63" s="21">
        <v>8162</v>
      </c>
      <c r="N63" s="21">
        <v>0</v>
      </c>
      <c r="O63" s="27">
        <f>IF(Cota_Demanda[[#This Row],[@-Garantido]]=TRUE,1,0)</f>
        <v>0</v>
      </c>
    </row>
    <row r="64" spans="1:15" hidden="1" x14ac:dyDescent="0.25">
      <c r="A64" s="47">
        <v>202007</v>
      </c>
      <c r="B64" s="47">
        <v>73</v>
      </c>
      <c r="C64" s="48" t="s">
        <v>96</v>
      </c>
      <c r="D64" s="48" t="s">
        <v>103</v>
      </c>
      <c r="E64" s="42" t="s">
        <v>103</v>
      </c>
      <c r="F64" s="42"/>
      <c r="G64" s="42"/>
      <c r="H64" s="1" t="b">
        <v>1</v>
      </c>
      <c r="I64" s="1" t="b">
        <v>0</v>
      </c>
      <c r="J64" s="1" t="b">
        <v>0</v>
      </c>
      <c r="K64" s="1" t="b">
        <v>0</v>
      </c>
      <c r="L64" s="1" t="b">
        <v>1</v>
      </c>
      <c r="M64" s="21">
        <v>948</v>
      </c>
      <c r="N64" s="21">
        <v>948</v>
      </c>
      <c r="O64" s="27">
        <f>IF(Cota_Demanda[[#This Row],[@-Garantido]]=TRUE,1,0)</f>
        <v>0</v>
      </c>
    </row>
    <row r="65" spans="1:15" hidden="1" x14ac:dyDescent="0.25">
      <c r="A65" s="47">
        <v>202007</v>
      </c>
      <c r="B65" s="47">
        <v>62</v>
      </c>
      <c r="C65" s="48" t="s">
        <v>96</v>
      </c>
      <c r="D65" s="48" t="s">
        <v>97</v>
      </c>
      <c r="E65" s="42"/>
      <c r="F65" s="42"/>
      <c r="G65" s="42" t="s">
        <v>97</v>
      </c>
      <c r="H65" s="1" t="b">
        <v>0</v>
      </c>
      <c r="I65" s="1" t="b">
        <v>0</v>
      </c>
      <c r="J65" s="1" t="b">
        <v>1</v>
      </c>
      <c r="K65" s="1" t="b">
        <v>0</v>
      </c>
      <c r="L65" s="1" t="b">
        <v>1</v>
      </c>
      <c r="M65" s="21">
        <v>21</v>
      </c>
      <c r="N65" s="21">
        <v>21</v>
      </c>
      <c r="O65" s="27">
        <f>IF(Cota_Demanda[[#This Row],[@-Garantido]]=TRUE,1,0)</f>
        <v>0</v>
      </c>
    </row>
    <row r="66" spans="1:15" hidden="1" x14ac:dyDescent="0.25">
      <c r="A66" s="47">
        <v>202007</v>
      </c>
      <c r="B66" s="47">
        <v>64</v>
      </c>
      <c r="C66" s="48" t="s">
        <v>96</v>
      </c>
      <c r="D66" s="48" t="s">
        <v>97</v>
      </c>
      <c r="E66" s="42"/>
      <c r="F66" s="42"/>
      <c r="G66" s="42" t="s">
        <v>97</v>
      </c>
      <c r="H66" s="1" t="b">
        <v>0</v>
      </c>
      <c r="I66" s="1" t="b">
        <v>0</v>
      </c>
      <c r="J66" s="1" t="b">
        <v>1</v>
      </c>
      <c r="K66" s="1" t="b">
        <v>0</v>
      </c>
      <c r="L66" s="1" t="b">
        <v>1</v>
      </c>
      <c r="M66" s="21">
        <v>86</v>
      </c>
      <c r="N66" s="21">
        <v>86</v>
      </c>
      <c r="O66" s="27">
        <f>IF(Cota_Demanda[[#This Row],[@-Garantido]]=TRUE,1,0)</f>
        <v>0</v>
      </c>
    </row>
    <row r="67" spans="1:15" hidden="1" x14ac:dyDescent="0.25">
      <c r="A67" s="47">
        <v>202007</v>
      </c>
      <c r="B67" s="47">
        <v>66</v>
      </c>
      <c r="C67" s="48" t="s">
        <v>96</v>
      </c>
      <c r="D67" s="48" t="s">
        <v>97</v>
      </c>
      <c r="E67" s="42"/>
      <c r="F67" s="42"/>
      <c r="G67" s="42" t="s">
        <v>97</v>
      </c>
      <c r="H67" s="1" t="b">
        <v>0</v>
      </c>
      <c r="I67" s="1" t="b">
        <v>0</v>
      </c>
      <c r="J67" s="1" t="b">
        <v>1</v>
      </c>
      <c r="K67" s="1" t="b">
        <v>0</v>
      </c>
      <c r="L67" s="1" t="b">
        <v>1</v>
      </c>
      <c r="M67" s="21">
        <v>19.88</v>
      </c>
      <c r="N67" s="21">
        <v>19.88</v>
      </c>
      <c r="O67" s="27">
        <f>IF(Cota_Demanda[[#This Row],[@-Garantido]]=TRUE,1,0)</f>
        <v>0</v>
      </c>
    </row>
    <row r="68" spans="1:15" hidden="1" x14ac:dyDescent="0.25">
      <c r="A68" s="47">
        <v>202007</v>
      </c>
      <c r="B68" s="47">
        <v>70</v>
      </c>
      <c r="C68" s="48" t="s">
        <v>96</v>
      </c>
      <c r="D68" s="48" t="s">
        <v>97</v>
      </c>
      <c r="E68" s="42"/>
      <c r="F68" s="42"/>
      <c r="G68" s="42" t="s">
        <v>97</v>
      </c>
      <c r="H68" s="1" t="b">
        <v>0</v>
      </c>
      <c r="I68" s="1" t="b">
        <v>0</v>
      </c>
      <c r="J68" s="1" t="b">
        <v>1</v>
      </c>
      <c r="K68" s="1" t="b">
        <v>0</v>
      </c>
      <c r="L68" s="1" t="b">
        <v>1</v>
      </c>
      <c r="M68" s="21">
        <v>4761.17</v>
      </c>
      <c r="N68" s="21">
        <v>0</v>
      </c>
      <c r="O68" s="27">
        <f>IF(Cota_Demanda[[#This Row],[@-Garantido]]=TRUE,1,0)</f>
        <v>0</v>
      </c>
    </row>
    <row r="69" spans="1:15" hidden="1" x14ac:dyDescent="0.25">
      <c r="A69" s="47">
        <v>202007</v>
      </c>
      <c r="B69" s="47">
        <v>73</v>
      </c>
      <c r="C69" s="48" t="s">
        <v>96</v>
      </c>
      <c r="D69" s="48" t="s">
        <v>97</v>
      </c>
      <c r="E69" s="42"/>
      <c r="F69" s="42"/>
      <c r="G69" s="42" t="s">
        <v>97</v>
      </c>
      <c r="H69" s="1" t="b">
        <v>0</v>
      </c>
      <c r="I69" s="1" t="b">
        <v>0</v>
      </c>
      <c r="J69" s="1" t="b">
        <v>1</v>
      </c>
      <c r="K69" s="1" t="b">
        <v>0</v>
      </c>
      <c r="L69" s="1" t="b">
        <v>1</v>
      </c>
      <c r="M69" s="21">
        <v>632</v>
      </c>
      <c r="N69" s="21">
        <v>632</v>
      </c>
      <c r="O69" s="27">
        <f>IF(Cota_Demanda[[#This Row],[@-Garantido]]=TRUE,1,0)</f>
        <v>0</v>
      </c>
    </row>
  </sheetData>
  <conditionalFormatting sqref="H6:L69">
    <cfRule type="cellIs" dxfId="162" priority="3" operator="equal">
      <formula>FALSE</formula>
    </cfRule>
    <cfRule type="cellIs" dxfId="161" priority="4" operator="equal">
      <formula>TRUE</formula>
    </cfRule>
  </conditionalFormatting>
  <conditionalFormatting sqref="O6:O69">
    <cfRule type="cellIs" dxfId="160" priority="1" operator="equal">
      <formula>0</formula>
    </cfRule>
    <cfRule type="cellIs" dxfId="159" priority="2" operator="equal">
      <formula>1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381FB-6FF8-4BA9-8D46-5CF27DF0E685}">
  <sheetPr codeName="Planilha13"/>
  <dimension ref="A1:G281"/>
  <sheetViews>
    <sheetView showGridLines="0" workbookViewId="0">
      <pane ySplit="5" topLeftCell="A6" activePane="bottomLeft" state="frozen"/>
      <selection pane="bottomLeft" sqref="A1:XFD4"/>
    </sheetView>
  </sheetViews>
  <sheetFormatPr defaultRowHeight="15" x14ac:dyDescent="0.25"/>
  <cols>
    <col min="1" max="1" width="19" style="1" bestFit="1" customWidth="1"/>
    <col min="2" max="2" width="36.28515625" style="1" bestFit="1" customWidth="1"/>
    <col min="3" max="3" width="16.140625" style="1" bestFit="1" customWidth="1"/>
    <col min="4" max="6" width="10.85546875" style="1" bestFit="1" customWidth="1"/>
    <col min="7" max="7" width="14.28515625" style="1" bestFit="1" customWidth="1"/>
    <col min="8" max="16384" width="9.140625" style="1"/>
  </cols>
  <sheetData>
    <row r="1" spans="1:7" ht="18.75" x14ac:dyDescent="0.25">
      <c r="A1" s="8" t="s">
        <v>218</v>
      </c>
    </row>
    <row r="5" spans="1:7" x14ac:dyDescent="0.25">
      <c r="A5" s="1" t="s">
        <v>104</v>
      </c>
      <c r="B5" s="1" t="s">
        <v>170</v>
      </c>
      <c r="C5" s="1" t="s">
        <v>105</v>
      </c>
      <c r="D5" s="1" t="s">
        <v>93</v>
      </c>
      <c r="E5" s="1" t="s">
        <v>157</v>
      </c>
      <c r="F5" s="1" t="s">
        <v>158</v>
      </c>
      <c r="G5" s="1" t="s">
        <v>177</v>
      </c>
    </row>
    <row r="6" spans="1:7" x14ac:dyDescent="0.25">
      <c r="A6" s="41">
        <v>202007</v>
      </c>
      <c r="B6" s="42" t="s">
        <v>126</v>
      </c>
      <c r="C6" s="41">
        <v>45</v>
      </c>
      <c r="D6" s="43" t="b">
        <v>0</v>
      </c>
      <c r="E6" s="43" t="b">
        <v>1</v>
      </c>
      <c r="F6" s="43" t="b">
        <v>0</v>
      </c>
      <c r="G6" s="21">
        <v>3746</v>
      </c>
    </row>
    <row r="7" spans="1:7" x14ac:dyDescent="0.25">
      <c r="A7" s="41">
        <v>202007</v>
      </c>
      <c r="B7" s="42" t="s">
        <v>126</v>
      </c>
      <c r="C7" s="41">
        <v>47</v>
      </c>
      <c r="D7" s="43" t="b">
        <v>0</v>
      </c>
      <c r="E7" s="43" t="b">
        <v>1</v>
      </c>
      <c r="F7" s="43" t="b">
        <v>0</v>
      </c>
      <c r="G7" s="21">
        <v>765</v>
      </c>
    </row>
    <row r="8" spans="1:7" x14ac:dyDescent="0.25">
      <c r="A8" s="41">
        <v>202007</v>
      </c>
      <c r="B8" s="42" t="s">
        <v>126</v>
      </c>
      <c r="C8" s="41">
        <v>56</v>
      </c>
      <c r="D8" s="43" t="b">
        <v>0</v>
      </c>
      <c r="E8" s="43" t="b">
        <v>1</v>
      </c>
      <c r="F8" s="43" t="b">
        <v>0</v>
      </c>
      <c r="G8" s="21">
        <v>584</v>
      </c>
    </row>
    <row r="9" spans="1:7" x14ac:dyDescent="0.25">
      <c r="A9" s="41">
        <v>202007</v>
      </c>
      <c r="B9" s="42" t="s">
        <v>126</v>
      </c>
      <c r="C9" s="41">
        <v>57</v>
      </c>
      <c r="D9" s="43" t="b">
        <v>0</v>
      </c>
      <c r="E9" s="43" t="b">
        <v>1</v>
      </c>
      <c r="F9" s="43" t="b">
        <v>0</v>
      </c>
      <c r="G9" s="21">
        <v>63</v>
      </c>
    </row>
    <row r="10" spans="1:7" x14ac:dyDescent="0.25">
      <c r="A10" s="41">
        <v>202007</v>
      </c>
      <c r="B10" s="42" t="s">
        <v>126</v>
      </c>
      <c r="C10" s="41">
        <v>60</v>
      </c>
      <c r="D10" s="43" t="b">
        <v>0</v>
      </c>
      <c r="E10" s="43" t="b">
        <v>1</v>
      </c>
      <c r="F10" s="43" t="b">
        <v>0</v>
      </c>
      <c r="G10" s="21">
        <v>3</v>
      </c>
    </row>
    <row r="11" spans="1:7" x14ac:dyDescent="0.25">
      <c r="A11" s="41">
        <v>202007</v>
      </c>
      <c r="B11" s="42" t="s">
        <v>126</v>
      </c>
      <c r="C11" s="41">
        <v>62</v>
      </c>
      <c r="D11" s="43" t="b">
        <v>0</v>
      </c>
      <c r="E11" s="43" t="b">
        <v>1</v>
      </c>
      <c r="F11" s="43" t="b">
        <v>0</v>
      </c>
      <c r="G11" s="21">
        <v>37</v>
      </c>
    </row>
    <row r="12" spans="1:7" x14ac:dyDescent="0.25">
      <c r="A12" s="41">
        <v>202007</v>
      </c>
      <c r="B12" s="42" t="s">
        <v>126</v>
      </c>
      <c r="C12" s="41">
        <v>64</v>
      </c>
      <c r="D12" s="43" t="b">
        <v>0</v>
      </c>
      <c r="E12" s="43" t="b">
        <v>1</v>
      </c>
      <c r="F12" s="43" t="b">
        <v>0</v>
      </c>
      <c r="G12" s="21">
        <v>61</v>
      </c>
    </row>
    <row r="13" spans="1:7" x14ac:dyDescent="0.25">
      <c r="A13" s="41">
        <v>202007</v>
      </c>
      <c r="B13" s="42" t="s">
        <v>126</v>
      </c>
      <c r="C13" s="41">
        <v>66</v>
      </c>
      <c r="D13" s="43" t="b">
        <v>0</v>
      </c>
      <c r="E13" s="43" t="b">
        <v>1</v>
      </c>
      <c r="F13" s="43" t="b">
        <v>0</v>
      </c>
      <c r="G13" s="21">
        <v>15</v>
      </c>
    </row>
    <row r="14" spans="1:7" x14ac:dyDescent="0.25">
      <c r="A14" s="41">
        <v>202007</v>
      </c>
      <c r="B14" s="42" t="s">
        <v>126</v>
      </c>
      <c r="C14" s="41">
        <v>70</v>
      </c>
      <c r="D14" s="43" t="b">
        <v>0</v>
      </c>
      <c r="E14" s="43" t="b">
        <v>1</v>
      </c>
      <c r="F14" s="43" t="b">
        <v>0</v>
      </c>
      <c r="G14" s="21">
        <v>12590</v>
      </c>
    </row>
    <row r="15" spans="1:7" x14ac:dyDescent="0.25">
      <c r="A15" s="41">
        <v>202007</v>
      </c>
      <c r="B15" s="42" t="s">
        <v>126</v>
      </c>
      <c r="C15" s="41">
        <v>73</v>
      </c>
      <c r="D15" s="43" t="b">
        <v>0</v>
      </c>
      <c r="E15" s="43" t="b">
        <v>1</v>
      </c>
      <c r="F15" s="43" t="b">
        <v>0</v>
      </c>
      <c r="G15" s="21">
        <v>513</v>
      </c>
    </row>
    <row r="16" spans="1:7" x14ac:dyDescent="0.25">
      <c r="A16" s="41">
        <v>202007</v>
      </c>
      <c r="B16" s="42" t="s">
        <v>120</v>
      </c>
      <c r="C16" s="41">
        <v>45</v>
      </c>
      <c r="D16" s="43" t="b">
        <v>0</v>
      </c>
      <c r="E16" s="43" t="b">
        <v>1</v>
      </c>
      <c r="F16" s="43" t="b">
        <v>0</v>
      </c>
      <c r="G16" s="21">
        <v>5751</v>
      </c>
    </row>
    <row r="17" spans="1:7" x14ac:dyDescent="0.25">
      <c r="A17" s="41">
        <v>202007</v>
      </c>
      <c r="B17" s="42" t="s">
        <v>120</v>
      </c>
      <c r="C17" s="41">
        <v>47</v>
      </c>
      <c r="D17" s="43" t="b">
        <v>0</v>
      </c>
      <c r="E17" s="43" t="b">
        <v>1</v>
      </c>
      <c r="F17" s="43" t="b">
        <v>0</v>
      </c>
      <c r="G17" s="21">
        <v>925</v>
      </c>
    </row>
    <row r="18" spans="1:7" x14ac:dyDescent="0.25">
      <c r="A18" s="41">
        <v>202007</v>
      </c>
      <c r="B18" s="42" t="s">
        <v>120</v>
      </c>
      <c r="C18" s="41">
        <v>56</v>
      </c>
      <c r="D18" s="43" t="b">
        <v>0</v>
      </c>
      <c r="E18" s="43" t="b">
        <v>1</v>
      </c>
      <c r="F18" s="43" t="b">
        <v>0</v>
      </c>
      <c r="G18" s="21">
        <v>39</v>
      </c>
    </row>
    <row r="19" spans="1:7" x14ac:dyDescent="0.25">
      <c r="A19" s="41">
        <v>202007</v>
      </c>
      <c r="B19" s="42" t="s">
        <v>120</v>
      </c>
      <c r="C19" s="41">
        <v>62</v>
      </c>
      <c r="D19" s="43" t="b">
        <v>0</v>
      </c>
      <c r="E19" s="43" t="b">
        <v>1</v>
      </c>
      <c r="F19" s="43" t="b">
        <v>0</v>
      </c>
      <c r="G19" s="21">
        <v>91</v>
      </c>
    </row>
    <row r="20" spans="1:7" x14ac:dyDescent="0.25">
      <c r="A20" s="41">
        <v>202007</v>
      </c>
      <c r="B20" s="42" t="s">
        <v>120</v>
      </c>
      <c r="C20" s="41">
        <v>64</v>
      </c>
      <c r="D20" s="43" t="b">
        <v>0</v>
      </c>
      <c r="E20" s="43" t="b">
        <v>1</v>
      </c>
      <c r="F20" s="43" t="b">
        <v>0</v>
      </c>
      <c r="G20" s="21">
        <v>47</v>
      </c>
    </row>
    <row r="21" spans="1:7" x14ac:dyDescent="0.25">
      <c r="A21" s="41">
        <v>202007</v>
      </c>
      <c r="B21" s="42" t="s">
        <v>120</v>
      </c>
      <c r="C21" s="41">
        <v>70</v>
      </c>
      <c r="D21" s="43" t="b">
        <v>0</v>
      </c>
      <c r="E21" s="43" t="b">
        <v>1</v>
      </c>
      <c r="F21" s="43" t="b">
        <v>0</v>
      </c>
      <c r="G21" s="21">
        <v>2580</v>
      </c>
    </row>
    <row r="22" spans="1:7" x14ac:dyDescent="0.25">
      <c r="A22" s="41">
        <v>202007</v>
      </c>
      <c r="B22" s="42" t="s">
        <v>120</v>
      </c>
      <c r="C22" s="41">
        <v>73</v>
      </c>
      <c r="D22" s="43" t="b">
        <v>0</v>
      </c>
      <c r="E22" s="43" t="b">
        <v>1</v>
      </c>
      <c r="F22" s="43" t="b">
        <v>0</v>
      </c>
      <c r="G22" s="21">
        <v>528</v>
      </c>
    </row>
    <row r="23" spans="1:7" x14ac:dyDescent="0.25">
      <c r="A23" s="41">
        <v>202007</v>
      </c>
      <c r="B23" s="42" t="s">
        <v>115</v>
      </c>
      <c r="C23" s="41">
        <v>45</v>
      </c>
      <c r="D23" s="43" t="b">
        <v>0</v>
      </c>
      <c r="E23" s="43" t="b">
        <v>1</v>
      </c>
      <c r="F23" s="43" t="b">
        <v>0</v>
      </c>
      <c r="G23" s="21">
        <v>5508</v>
      </c>
    </row>
    <row r="24" spans="1:7" x14ac:dyDescent="0.25">
      <c r="A24" s="41">
        <v>202007</v>
      </c>
      <c r="B24" s="42" t="s">
        <v>115</v>
      </c>
      <c r="C24" s="41">
        <v>47</v>
      </c>
      <c r="D24" s="43" t="b">
        <v>0</v>
      </c>
      <c r="E24" s="43" t="b">
        <v>1</v>
      </c>
      <c r="F24" s="43" t="b">
        <v>0</v>
      </c>
      <c r="G24" s="21">
        <v>1308</v>
      </c>
    </row>
    <row r="25" spans="1:7" x14ac:dyDescent="0.25">
      <c r="A25" s="41">
        <v>202007</v>
      </c>
      <c r="B25" s="42" t="s">
        <v>115</v>
      </c>
      <c r="C25" s="41">
        <v>56</v>
      </c>
      <c r="D25" s="43" t="b">
        <v>0</v>
      </c>
      <c r="E25" s="43" t="b">
        <v>1</v>
      </c>
      <c r="F25" s="43" t="b">
        <v>0</v>
      </c>
      <c r="G25" s="21">
        <v>862</v>
      </c>
    </row>
    <row r="26" spans="1:7" x14ac:dyDescent="0.25">
      <c r="A26" s="41">
        <v>202007</v>
      </c>
      <c r="B26" s="42" t="s">
        <v>115</v>
      </c>
      <c r="C26" s="41">
        <v>57</v>
      </c>
      <c r="D26" s="43" t="b">
        <v>0</v>
      </c>
      <c r="E26" s="43" t="b">
        <v>1</v>
      </c>
      <c r="F26" s="43" t="b">
        <v>0</v>
      </c>
      <c r="G26" s="21">
        <v>80</v>
      </c>
    </row>
    <row r="27" spans="1:7" x14ac:dyDescent="0.25">
      <c r="A27" s="41">
        <v>202007</v>
      </c>
      <c r="B27" s="42" t="s">
        <v>115</v>
      </c>
      <c r="C27" s="41">
        <v>62</v>
      </c>
      <c r="D27" s="43" t="b">
        <v>0</v>
      </c>
      <c r="E27" s="43" t="b">
        <v>1</v>
      </c>
      <c r="F27" s="43" t="b">
        <v>0</v>
      </c>
      <c r="G27" s="21">
        <v>19</v>
      </c>
    </row>
    <row r="28" spans="1:7" x14ac:dyDescent="0.25">
      <c r="A28" s="41">
        <v>202007</v>
      </c>
      <c r="B28" s="42" t="s">
        <v>115</v>
      </c>
      <c r="C28" s="41">
        <v>64</v>
      </c>
      <c r="D28" s="43" t="b">
        <v>0</v>
      </c>
      <c r="E28" s="43" t="b">
        <v>1</v>
      </c>
      <c r="F28" s="43" t="b">
        <v>0</v>
      </c>
      <c r="G28" s="21">
        <v>48</v>
      </c>
    </row>
    <row r="29" spans="1:7" x14ac:dyDescent="0.25">
      <c r="A29" s="41">
        <v>202007</v>
      </c>
      <c r="B29" s="42" t="s">
        <v>115</v>
      </c>
      <c r="C29" s="41">
        <v>66</v>
      </c>
      <c r="D29" s="43" t="b">
        <v>0</v>
      </c>
      <c r="E29" s="43" t="b">
        <v>1</v>
      </c>
      <c r="F29" s="43" t="b">
        <v>0</v>
      </c>
      <c r="G29" s="21">
        <v>3</v>
      </c>
    </row>
    <row r="30" spans="1:7" x14ac:dyDescent="0.25">
      <c r="A30" s="41">
        <v>202007</v>
      </c>
      <c r="B30" s="42" t="s">
        <v>115</v>
      </c>
      <c r="C30" s="41">
        <v>70</v>
      </c>
      <c r="D30" s="43" t="b">
        <v>0</v>
      </c>
      <c r="E30" s="43" t="b">
        <v>1</v>
      </c>
      <c r="F30" s="43" t="b">
        <v>0</v>
      </c>
      <c r="G30" s="21">
        <v>2780</v>
      </c>
    </row>
    <row r="31" spans="1:7" x14ac:dyDescent="0.25">
      <c r="A31" s="41">
        <v>202007</v>
      </c>
      <c r="B31" s="42" t="s">
        <v>115</v>
      </c>
      <c r="C31" s="41">
        <v>73</v>
      </c>
      <c r="D31" s="43" t="b">
        <v>0</v>
      </c>
      <c r="E31" s="43" t="b">
        <v>1</v>
      </c>
      <c r="F31" s="43" t="b">
        <v>0</v>
      </c>
      <c r="G31" s="21">
        <v>1171</v>
      </c>
    </row>
    <row r="32" spans="1:7" x14ac:dyDescent="0.25">
      <c r="A32" s="41">
        <v>202007</v>
      </c>
      <c r="B32" s="42" t="s">
        <v>98</v>
      </c>
      <c r="C32" s="41">
        <v>45</v>
      </c>
      <c r="D32" s="43" t="b">
        <v>1</v>
      </c>
      <c r="E32" s="43" t="b">
        <v>0</v>
      </c>
      <c r="F32" s="43" t="b">
        <v>0</v>
      </c>
      <c r="G32" s="21">
        <v>5918</v>
      </c>
    </row>
    <row r="33" spans="1:7" x14ac:dyDescent="0.25">
      <c r="A33" s="41">
        <v>202007</v>
      </c>
      <c r="B33" s="42" t="s">
        <v>98</v>
      </c>
      <c r="C33" s="41">
        <v>47</v>
      </c>
      <c r="D33" s="43" t="b">
        <v>1</v>
      </c>
      <c r="E33" s="43" t="b">
        <v>0</v>
      </c>
      <c r="F33" s="43" t="b">
        <v>0</v>
      </c>
      <c r="G33" s="21">
        <v>1434</v>
      </c>
    </row>
    <row r="34" spans="1:7" x14ac:dyDescent="0.25">
      <c r="A34" s="41">
        <v>202007</v>
      </c>
      <c r="B34" s="42" t="s">
        <v>98</v>
      </c>
      <c r="C34" s="41">
        <v>56</v>
      </c>
      <c r="D34" s="43" t="b">
        <v>1</v>
      </c>
      <c r="E34" s="43" t="b">
        <v>0</v>
      </c>
      <c r="F34" s="43" t="b">
        <v>0</v>
      </c>
      <c r="G34" s="21">
        <v>862</v>
      </c>
    </row>
    <row r="35" spans="1:7" x14ac:dyDescent="0.25">
      <c r="A35" s="41">
        <v>202007</v>
      </c>
      <c r="B35" s="42" t="s">
        <v>98</v>
      </c>
      <c r="C35" s="41">
        <v>57</v>
      </c>
      <c r="D35" s="43" t="b">
        <v>1</v>
      </c>
      <c r="E35" s="43" t="b">
        <v>0</v>
      </c>
      <c r="F35" s="43" t="b">
        <v>0</v>
      </c>
      <c r="G35" s="21">
        <v>80</v>
      </c>
    </row>
    <row r="36" spans="1:7" x14ac:dyDescent="0.25">
      <c r="A36" s="41">
        <v>202007</v>
      </c>
      <c r="B36" s="42" t="s">
        <v>98</v>
      </c>
      <c r="C36" s="41">
        <v>62</v>
      </c>
      <c r="D36" s="43" t="b">
        <v>1</v>
      </c>
      <c r="E36" s="43" t="b">
        <v>0</v>
      </c>
      <c r="F36" s="43" t="b">
        <v>0</v>
      </c>
      <c r="G36" s="21">
        <v>22</v>
      </c>
    </row>
    <row r="37" spans="1:7" x14ac:dyDescent="0.25">
      <c r="A37" s="41">
        <v>202007</v>
      </c>
      <c r="B37" s="42" t="s">
        <v>98</v>
      </c>
      <c r="C37" s="41">
        <v>64</v>
      </c>
      <c r="D37" s="43" t="b">
        <v>1</v>
      </c>
      <c r="E37" s="43" t="b">
        <v>0</v>
      </c>
      <c r="F37" s="43" t="b">
        <v>0</v>
      </c>
      <c r="G37" s="21">
        <v>56</v>
      </c>
    </row>
    <row r="38" spans="1:7" x14ac:dyDescent="0.25">
      <c r="A38" s="41">
        <v>202007</v>
      </c>
      <c r="B38" s="42" t="s">
        <v>98</v>
      </c>
      <c r="C38" s="41">
        <v>66</v>
      </c>
      <c r="D38" s="43" t="b">
        <v>1</v>
      </c>
      <c r="E38" s="43" t="b">
        <v>0</v>
      </c>
      <c r="F38" s="43" t="b">
        <v>0</v>
      </c>
      <c r="G38" s="21">
        <v>3</v>
      </c>
    </row>
    <row r="39" spans="1:7" x14ac:dyDescent="0.25">
      <c r="A39" s="41">
        <v>202007</v>
      </c>
      <c r="B39" s="42" t="s">
        <v>98</v>
      </c>
      <c r="C39" s="41">
        <v>70</v>
      </c>
      <c r="D39" s="43" t="b">
        <v>1</v>
      </c>
      <c r="E39" s="43" t="b">
        <v>0</v>
      </c>
      <c r="F39" s="43" t="b">
        <v>0</v>
      </c>
      <c r="G39" s="21">
        <v>3130</v>
      </c>
    </row>
    <row r="40" spans="1:7" x14ac:dyDescent="0.25">
      <c r="A40" s="41">
        <v>202007</v>
      </c>
      <c r="B40" s="42" t="s">
        <v>98</v>
      </c>
      <c r="C40" s="41">
        <v>73</v>
      </c>
      <c r="D40" s="43" t="b">
        <v>1</v>
      </c>
      <c r="E40" s="43" t="b">
        <v>0</v>
      </c>
      <c r="F40" s="43" t="b">
        <v>0</v>
      </c>
      <c r="G40" s="21">
        <v>1179</v>
      </c>
    </row>
    <row r="41" spans="1:7" x14ac:dyDescent="0.25">
      <c r="A41" s="41">
        <v>202007</v>
      </c>
      <c r="B41" s="42" t="s">
        <v>99</v>
      </c>
      <c r="C41" s="41">
        <v>45</v>
      </c>
      <c r="D41" s="43" t="b">
        <v>1</v>
      </c>
      <c r="E41" s="43" t="b">
        <v>0</v>
      </c>
      <c r="F41" s="43" t="b">
        <v>0</v>
      </c>
      <c r="G41" s="21">
        <v>10948</v>
      </c>
    </row>
    <row r="42" spans="1:7" x14ac:dyDescent="0.25">
      <c r="A42" s="41">
        <v>202007</v>
      </c>
      <c r="B42" s="42" t="s">
        <v>99</v>
      </c>
      <c r="C42" s="41">
        <v>47</v>
      </c>
      <c r="D42" s="43" t="b">
        <v>1</v>
      </c>
      <c r="E42" s="43" t="b">
        <v>0</v>
      </c>
      <c r="F42" s="43" t="b">
        <v>0</v>
      </c>
      <c r="G42" s="21">
        <v>442</v>
      </c>
    </row>
    <row r="43" spans="1:7" x14ac:dyDescent="0.25">
      <c r="A43" s="41">
        <v>202007</v>
      </c>
      <c r="B43" s="42" t="s">
        <v>99</v>
      </c>
      <c r="C43" s="41">
        <v>54</v>
      </c>
      <c r="D43" s="43" t="b">
        <v>1</v>
      </c>
      <c r="E43" s="43" t="b">
        <v>0</v>
      </c>
      <c r="F43" s="43" t="b">
        <v>0</v>
      </c>
      <c r="G43" s="21">
        <v>2124</v>
      </c>
    </row>
    <row r="44" spans="1:7" x14ac:dyDescent="0.25">
      <c r="A44" s="41">
        <v>202007</v>
      </c>
      <c r="B44" s="42" t="s">
        <v>99</v>
      </c>
      <c r="C44" s="41">
        <v>56</v>
      </c>
      <c r="D44" s="43" t="b">
        <v>1</v>
      </c>
      <c r="E44" s="43" t="b">
        <v>0</v>
      </c>
      <c r="F44" s="43" t="b">
        <v>0</v>
      </c>
      <c r="G44" s="21">
        <v>249</v>
      </c>
    </row>
    <row r="45" spans="1:7" x14ac:dyDescent="0.25">
      <c r="A45" s="41">
        <v>202007</v>
      </c>
      <c r="B45" s="42" t="s">
        <v>99</v>
      </c>
      <c r="C45" s="41">
        <v>60</v>
      </c>
      <c r="D45" s="43" t="b">
        <v>1</v>
      </c>
      <c r="E45" s="43" t="b">
        <v>0</v>
      </c>
      <c r="F45" s="43" t="b">
        <v>0</v>
      </c>
      <c r="G45" s="21">
        <v>11</v>
      </c>
    </row>
    <row r="46" spans="1:7" x14ac:dyDescent="0.25">
      <c r="A46" s="41">
        <v>202007</v>
      </c>
      <c r="B46" s="42" t="s">
        <v>99</v>
      </c>
      <c r="C46" s="41">
        <v>62</v>
      </c>
      <c r="D46" s="43" t="b">
        <v>1</v>
      </c>
      <c r="E46" s="43" t="b">
        <v>0</v>
      </c>
      <c r="F46" s="43" t="b">
        <v>0</v>
      </c>
      <c r="G46" s="21">
        <v>124</v>
      </c>
    </row>
    <row r="47" spans="1:7" x14ac:dyDescent="0.25">
      <c r="A47" s="41">
        <v>202007</v>
      </c>
      <c r="B47" s="42" t="s">
        <v>99</v>
      </c>
      <c r="C47" s="41">
        <v>64</v>
      </c>
      <c r="D47" s="43" t="b">
        <v>1</v>
      </c>
      <c r="E47" s="43" t="b">
        <v>0</v>
      </c>
      <c r="F47" s="43" t="b">
        <v>0</v>
      </c>
      <c r="G47" s="21">
        <v>336</v>
      </c>
    </row>
    <row r="48" spans="1:7" x14ac:dyDescent="0.25">
      <c r="A48" s="41">
        <v>202007</v>
      </c>
      <c r="B48" s="42" t="s">
        <v>99</v>
      </c>
      <c r="C48" s="41">
        <v>70</v>
      </c>
      <c r="D48" s="43" t="b">
        <v>1</v>
      </c>
      <c r="E48" s="43" t="b">
        <v>0</v>
      </c>
      <c r="F48" s="43" t="b">
        <v>0</v>
      </c>
      <c r="G48" s="21">
        <v>19960</v>
      </c>
    </row>
    <row r="49" spans="1:7" x14ac:dyDescent="0.25">
      <c r="A49" s="41">
        <v>202007</v>
      </c>
      <c r="B49" s="42" t="s">
        <v>99</v>
      </c>
      <c r="C49" s="41">
        <v>73</v>
      </c>
      <c r="D49" s="43" t="b">
        <v>1</v>
      </c>
      <c r="E49" s="43" t="b">
        <v>0</v>
      </c>
      <c r="F49" s="43" t="b">
        <v>0</v>
      </c>
      <c r="G49" s="21">
        <v>445</v>
      </c>
    </row>
    <row r="50" spans="1:7" x14ac:dyDescent="0.25">
      <c r="A50" s="41">
        <v>202007</v>
      </c>
      <c r="B50" s="42" t="s">
        <v>45</v>
      </c>
      <c r="C50" s="41">
        <v>45</v>
      </c>
      <c r="D50" s="43" t="b">
        <v>0</v>
      </c>
      <c r="E50" s="43" t="b">
        <v>0</v>
      </c>
      <c r="F50" s="43" t="b">
        <v>1</v>
      </c>
      <c r="G50" s="21">
        <v>0</v>
      </c>
    </row>
    <row r="51" spans="1:7" x14ac:dyDescent="0.25">
      <c r="A51" s="41">
        <v>202007</v>
      </c>
      <c r="B51" s="42" t="s">
        <v>45</v>
      </c>
      <c r="C51" s="41">
        <v>45</v>
      </c>
      <c r="D51" s="43" t="b">
        <v>0</v>
      </c>
      <c r="E51" s="43" t="b">
        <v>1</v>
      </c>
      <c r="F51" s="43" t="b">
        <v>0</v>
      </c>
      <c r="G51" s="21">
        <v>0</v>
      </c>
    </row>
    <row r="52" spans="1:7" x14ac:dyDescent="0.25">
      <c r="A52" s="41">
        <v>202007</v>
      </c>
      <c r="B52" s="42" t="s">
        <v>45</v>
      </c>
      <c r="C52" s="41">
        <v>45</v>
      </c>
      <c r="D52" s="43" t="b">
        <v>1</v>
      </c>
      <c r="E52" s="43" t="b">
        <v>0</v>
      </c>
      <c r="F52" s="43" t="b">
        <v>0</v>
      </c>
      <c r="G52" s="21">
        <v>0</v>
      </c>
    </row>
    <row r="53" spans="1:7" x14ac:dyDescent="0.25">
      <c r="A53" s="41">
        <v>202007</v>
      </c>
      <c r="B53" s="42" t="s">
        <v>45</v>
      </c>
      <c r="C53" s="41">
        <v>47</v>
      </c>
      <c r="D53" s="43" t="b">
        <v>0</v>
      </c>
      <c r="E53" s="43" t="b">
        <v>0</v>
      </c>
      <c r="F53" s="43" t="b">
        <v>1</v>
      </c>
      <c r="G53" s="21">
        <v>0</v>
      </c>
    </row>
    <row r="54" spans="1:7" x14ac:dyDescent="0.25">
      <c r="A54" s="41">
        <v>202007</v>
      </c>
      <c r="B54" s="42" t="s">
        <v>45</v>
      </c>
      <c r="C54" s="41">
        <v>47</v>
      </c>
      <c r="D54" s="43" t="b">
        <v>0</v>
      </c>
      <c r="E54" s="43" t="b">
        <v>1</v>
      </c>
      <c r="F54" s="43" t="b">
        <v>0</v>
      </c>
      <c r="G54" s="21">
        <v>0</v>
      </c>
    </row>
    <row r="55" spans="1:7" x14ac:dyDescent="0.25">
      <c r="A55" s="41">
        <v>202007</v>
      </c>
      <c r="B55" s="42" t="s">
        <v>45</v>
      </c>
      <c r="C55" s="41">
        <v>47</v>
      </c>
      <c r="D55" s="43" t="b">
        <v>1</v>
      </c>
      <c r="E55" s="43" t="b">
        <v>0</v>
      </c>
      <c r="F55" s="43" t="b">
        <v>0</v>
      </c>
      <c r="G55" s="21">
        <v>0</v>
      </c>
    </row>
    <row r="56" spans="1:7" x14ac:dyDescent="0.25">
      <c r="A56" s="41">
        <v>202007</v>
      </c>
      <c r="B56" s="42" t="s">
        <v>45</v>
      </c>
      <c r="C56" s="41">
        <v>64</v>
      </c>
      <c r="D56" s="43" t="b">
        <v>0</v>
      </c>
      <c r="E56" s="43" t="b">
        <v>0</v>
      </c>
      <c r="F56" s="43" t="b">
        <v>1</v>
      </c>
      <c r="G56" s="21">
        <v>0</v>
      </c>
    </row>
    <row r="57" spans="1:7" x14ac:dyDescent="0.25">
      <c r="A57" s="41">
        <v>202007</v>
      </c>
      <c r="B57" s="42" t="s">
        <v>45</v>
      </c>
      <c r="C57" s="41">
        <v>64</v>
      </c>
      <c r="D57" s="43" t="b">
        <v>0</v>
      </c>
      <c r="E57" s="43" t="b">
        <v>1</v>
      </c>
      <c r="F57" s="43" t="b">
        <v>0</v>
      </c>
      <c r="G57" s="21">
        <v>0</v>
      </c>
    </row>
    <row r="58" spans="1:7" x14ac:dyDescent="0.25">
      <c r="A58" s="41">
        <v>202007</v>
      </c>
      <c r="B58" s="42" t="s">
        <v>45</v>
      </c>
      <c r="C58" s="41">
        <v>64</v>
      </c>
      <c r="D58" s="43" t="b">
        <v>1</v>
      </c>
      <c r="E58" s="43" t="b">
        <v>0</v>
      </c>
      <c r="F58" s="43" t="b">
        <v>0</v>
      </c>
      <c r="G58" s="21">
        <v>0</v>
      </c>
    </row>
    <row r="59" spans="1:7" x14ac:dyDescent="0.25">
      <c r="A59" s="41">
        <v>202007</v>
      </c>
      <c r="B59" s="42" t="s">
        <v>45</v>
      </c>
      <c r="C59" s="41">
        <v>66</v>
      </c>
      <c r="D59" s="43" t="b">
        <v>0</v>
      </c>
      <c r="E59" s="43" t="b">
        <v>0</v>
      </c>
      <c r="F59" s="43" t="b">
        <v>1</v>
      </c>
      <c r="G59" s="21">
        <v>0</v>
      </c>
    </row>
    <row r="60" spans="1:7" x14ac:dyDescent="0.25">
      <c r="A60" s="41">
        <v>202007</v>
      </c>
      <c r="B60" s="42" t="s">
        <v>45</v>
      </c>
      <c r="C60" s="41">
        <v>66</v>
      </c>
      <c r="D60" s="43" t="b">
        <v>0</v>
      </c>
      <c r="E60" s="43" t="b">
        <v>1</v>
      </c>
      <c r="F60" s="43" t="b">
        <v>0</v>
      </c>
      <c r="G60" s="21">
        <v>0</v>
      </c>
    </row>
    <row r="61" spans="1:7" x14ac:dyDescent="0.25">
      <c r="A61" s="41">
        <v>202007</v>
      </c>
      <c r="B61" s="42" t="s">
        <v>45</v>
      </c>
      <c r="C61" s="41">
        <v>66</v>
      </c>
      <c r="D61" s="43" t="b">
        <v>1</v>
      </c>
      <c r="E61" s="43" t="b">
        <v>0</v>
      </c>
      <c r="F61" s="43" t="b">
        <v>0</v>
      </c>
      <c r="G61" s="21">
        <v>0</v>
      </c>
    </row>
    <row r="62" spans="1:7" x14ac:dyDescent="0.25">
      <c r="A62" s="41">
        <v>202007</v>
      </c>
      <c r="B62" s="42" t="s">
        <v>45</v>
      </c>
      <c r="C62" s="41">
        <v>70</v>
      </c>
      <c r="D62" s="43" t="b">
        <v>0</v>
      </c>
      <c r="E62" s="43" t="b">
        <v>0</v>
      </c>
      <c r="F62" s="43" t="b">
        <v>1</v>
      </c>
      <c r="G62" s="21">
        <v>0</v>
      </c>
    </row>
    <row r="63" spans="1:7" x14ac:dyDescent="0.25">
      <c r="A63" s="41">
        <v>202007</v>
      </c>
      <c r="B63" s="42" t="s">
        <v>45</v>
      </c>
      <c r="C63" s="41">
        <v>70</v>
      </c>
      <c r="D63" s="43" t="b">
        <v>0</v>
      </c>
      <c r="E63" s="43" t="b">
        <v>1</v>
      </c>
      <c r="F63" s="43" t="b">
        <v>0</v>
      </c>
      <c r="G63" s="21">
        <v>0</v>
      </c>
    </row>
    <row r="64" spans="1:7" x14ac:dyDescent="0.25">
      <c r="A64" s="41">
        <v>202007</v>
      </c>
      <c r="B64" s="42" t="s">
        <v>45</v>
      </c>
      <c r="C64" s="41">
        <v>70</v>
      </c>
      <c r="D64" s="43" t="b">
        <v>1</v>
      </c>
      <c r="E64" s="43" t="b">
        <v>0</v>
      </c>
      <c r="F64" s="43" t="b">
        <v>0</v>
      </c>
      <c r="G64" s="21">
        <v>0</v>
      </c>
    </row>
    <row r="65" spans="1:7" x14ac:dyDescent="0.25">
      <c r="A65" s="41">
        <v>202007</v>
      </c>
      <c r="B65" s="42" t="s">
        <v>100</v>
      </c>
      <c r="C65" s="41">
        <v>45</v>
      </c>
      <c r="D65" s="43" t="b">
        <v>1</v>
      </c>
      <c r="E65" s="43" t="b">
        <v>0</v>
      </c>
      <c r="F65" s="43" t="b">
        <v>0</v>
      </c>
      <c r="G65" s="21">
        <v>3842</v>
      </c>
    </row>
    <row r="66" spans="1:7" x14ac:dyDescent="0.25">
      <c r="A66" s="41">
        <v>202007</v>
      </c>
      <c r="B66" s="42" t="s">
        <v>100</v>
      </c>
      <c r="C66" s="41">
        <v>47</v>
      </c>
      <c r="D66" s="43" t="b">
        <v>1</v>
      </c>
      <c r="E66" s="43" t="b">
        <v>0</v>
      </c>
      <c r="F66" s="43" t="b">
        <v>0</v>
      </c>
      <c r="G66" s="21">
        <v>1153</v>
      </c>
    </row>
    <row r="67" spans="1:7" x14ac:dyDescent="0.25">
      <c r="A67" s="41">
        <v>202007</v>
      </c>
      <c r="B67" s="42" t="s">
        <v>100</v>
      </c>
      <c r="C67" s="41">
        <v>56</v>
      </c>
      <c r="D67" s="43" t="b">
        <v>1</v>
      </c>
      <c r="E67" s="43" t="b">
        <v>0</v>
      </c>
      <c r="F67" s="43" t="b">
        <v>0</v>
      </c>
      <c r="G67" s="21">
        <v>113</v>
      </c>
    </row>
    <row r="68" spans="1:7" x14ac:dyDescent="0.25">
      <c r="A68" s="41">
        <v>202007</v>
      </c>
      <c r="B68" s="42" t="s">
        <v>100</v>
      </c>
      <c r="C68" s="41">
        <v>57</v>
      </c>
      <c r="D68" s="43" t="b">
        <v>1</v>
      </c>
      <c r="E68" s="43" t="b">
        <v>0</v>
      </c>
      <c r="F68" s="43" t="b">
        <v>0</v>
      </c>
      <c r="G68" s="21">
        <v>15</v>
      </c>
    </row>
    <row r="69" spans="1:7" x14ac:dyDescent="0.25">
      <c r="A69" s="41">
        <v>202007</v>
      </c>
      <c r="B69" s="42" t="s">
        <v>100</v>
      </c>
      <c r="C69" s="41">
        <v>62</v>
      </c>
      <c r="D69" s="43" t="b">
        <v>1</v>
      </c>
      <c r="E69" s="43" t="b">
        <v>0</v>
      </c>
      <c r="F69" s="43" t="b">
        <v>0</v>
      </c>
      <c r="G69" s="21">
        <v>231</v>
      </c>
    </row>
    <row r="70" spans="1:7" x14ac:dyDescent="0.25">
      <c r="A70" s="41">
        <v>202007</v>
      </c>
      <c r="B70" s="42" t="s">
        <v>100</v>
      </c>
      <c r="C70" s="41">
        <v>64</v>
      </c>
      <c r="D70" s="43" t="b">
        <v>1</v>
      </c>
      <c r="E70" s="43" t="b">
        <v>0</v>
      </c>
      <c r="F70" s="43" t="b">
        <v>0</v>
      </c>
      <c r="G70" s="21">
        <v>309</v>
      </c>
    </row>
    <row r="71" spans="1:7" x14ac:dyDescent="0.25">
      <c r="A71" s="41">
        <v>202007</v>
      </c>
      <c r="B71" s="42" t="s">
        <v>100</v>
      </c>
      <c r="C71" s="41">
        <v>66</v>
      </c>
      <c r="D71" s="43" t="b">
        <v>1</v>
      </c>
      <c r="E71" s="43" t="b">
        <v>0</v>
      </c>
      <c r="F71" s="43" t="b">
        <v>0</v>
      </c>
      <c r="G71" s="21">
        <v>1</v>
      </c>
    </row>
    <row r="72" spans="1:7" x14ac:dyDescent="0.25">
      <c r="A72" s="41">
        <v>202007</v>
      </c>
      <c r="B72" s="42" t="s">
        <v>100</v>
      </c>
      <c r="C72" s="41">
        <v>70</v>
      </c>
      <c r="D72" s="43" t="b">
        <v>1</v>
      </c>
      <c r="E72" s="43" t="b">
        <v>0</v>
      </c>
      <c r="F72" s="43" t="b">
        <v>0</v>
      </c>
      <c r="G72" s="21">
        <v>5435</v>
      </c>
    </row>
    <row r="73" spans="1:7" x14ac:dyDescent="0.25">
      <c r="A73" s="41">
        <v>202007</v>
      </c>
      <c r="B73" s="42" t="s">
        <v>100</v>
      </c>
      <c r="C73" s="41">
        <v>73</v>
      </c>
      <c r="D73" s="43" t="b">
        <v>1</v>
      </c>
      <c r="E73" s="43" t="b">
        <v>0</v>
      </c>
      <c r="F73" s="43" t="b">
        <v>0</v>
      </c>
      <c r="G73" s="21">
        <v>1217</v>
      </c>
    </row>
    <row r="74" spans="1:7" x14ac:dyDescent="0.25">
      <c r="A74" s="41">
        <v>202007</v>
      </c>
      <c r="B74" s="42" t="s">
        <v>128</v>
      </c>
      <c r="C74" s="41">
        <v>45</v>
      </c>
      <c r="D74" s="43" t="b">
        <v>0</v>
      </c>
      <c r="E74" s="43" t="b">
        <v>1</v>
      </c>
      <c r="F74" s="43" t="b">
        <v>0</v>
      </c>
      <c r="G74" s="21">
        <v>2492</v>
      </c>
    </row>
    <row r="75" spans="1:7" x14ac:dyDescent="0.25">
      <c r="A75" s="41">
        <v>202007</v>
      </c>
      <c r="B75" s="42" t="s">
        <v>128</v>
      </c>
      <c r="C75" s="41">
        <v>47</v>
      </c>
      <c r="D75" s="43" t="b">
        <v>0</v>
      </c>
      <c r="E75" s="43" t="b">
        <v>1</v>
      </c>
      <c r="F75" s="43" t="b">
        <v>0</v>
      </c>
      <c r="G75" s="21">
        <v>2709</v>
      </c>
    </row>
    <row r="76" spans="1:7" x14ac:dyDescent="0.25">
      <c r="A76" s="41">
        <v>202007</v>
      </c>
      <c r="B76" s="42" t="s">
        <v>128</v>
      </c>
      <c r="C76" s="41">
        <v>56</v>
      </c>
      <c r="D76" s="43" t="b">
        <v>0</v>
      </c>
      <c r="E76" s="43" t="b">
        <v>1</v>
      </c>
      <c r="F76" s="43" t="b">
        <v>0</v>
      </c>
      <c r="G76" s="21">
        <v>172</v>
      </c>
    </row>
    <row r="77" spans="1:7" x14ac:dyDescent="0.25">
      <c r="A77" s="41">
        <v>202007</v>
      </c>
      <c r="B77" s="42" t="s">
        <v>128</v>
      </c>
      <c r="C77" s="41">
        <v>57</v>
      </c>
      <c r="D77" s="43" t="b">
        <v>0</v>
      </c>
      <c r="E77" s="43" t="b">
        <v>1</v>
      </c>
      <c r="F77" s="43" t="b">
        <v>0</v>
      </c>
      <c r="G77" s="21">
        <v>21</v>
      </c>
    </row>
    <row r="78" spans="1:7" x14ac:dyDescent="0.25">
      <c r="A78" s="41">
        <v>202007</v>
      </c>
      <c r="B78" s="42" t="s">
        <v>128</v>
      </c>
      <c r="C78" s="41">
        <v>62</v>
      </c>
      <c r="D78" s="43" t="b">
        <v>0</v>
      </c>
      <c r="E78" s="43" t="b">
        <v>1</v>
      </c>
      <c r="F78" s="43" t="b">
        <v>0</v>
      </c>
      <c r="G78" s="21">
        <v>3</v>
      </c>
    </row>
    <row r="79" spans="1:7" x14ac:dyDescent="0.25">
      <c r="A79" s="41">
        <v>202007</v>
      </c>
      <c r="B79" s="42" t="s">
        <v>128</v>
      </c>
      <c r="C79" s="41">
        <v>64</v>
      </c>
      <c r="D79" s="43" t="b">
        <v>0</v>
      </c>
      <c r="E79" s="43" t="b">
        <v>1</v>
      </c>
      <c r="F79" s="43" t="b">
        <v>0</v>
      </c>
      <c r="G79" s="21">
        <v>7</v>
      </c>
    </row>
    <row r="80" spans="1:7" x14ac:dyDescent="0.25">
      <c r="A80" s="41">
        <v>202007</v>
      </c>
      <c r="B80" s="42" t="s">
        <v>128</v>
      </c>
      <c r="C80" s="41">
        <v>66</v>
      </c>
      <c r="D80" s="43" t="b">
        <v>0</v>
      </c>
      <c r="E80" s="43" t="b">
        <v>1</v>
      </c>
      <c r="F80" s="43" t="b">
        <v>0</v>
      </c>
      <c r="G80" s="21">
        <v>232</v>
      </c>
    </row>
    <row r="81" spans="1:7" x14ac:dyDescent="0.25">
      <c r="A81" s="41">
        <v>202007</v>
      </c>
      <c r="B81" s="42" t="s">
        <v>128</v>
      </c>
      <c r="C81" s="41">
        <v>70</v>
      </c>
      <c r="D81" s="43" t="b">
        <v>0</v>
      </c>
      <c r="E81" s="43" t="b">
        <v>1</v>
      </c>
      <c r="F81" s="43" t="b">
        <v>0</v>
      </c>
      <c r="G81" s="21">
        <v>11855</v>
      </c>
    </row>
    <row r="82" spans="1:7" x14ac:dyDescent="0.25">
      <c r="A82" s="41">
        <v>202007</v>
      </c>
      <c r="B82" s="42" t="s">
        <v>128</v>
      </c>
      <c r="C82" s="41">
        <v>73</v>
      </c>
      <c r="D82" s="43" t="b">
        <v>0</v>
      </c>
      <c r="E82" s="43" t="b">
        <v>1</v>
      </c>
      <c r="F82" s="43" t="b">
        <v>0</v>
      </c>
      <c r="G82" s="21">
        <v>264</v>
      </c>
    </row>
    <row r="83" spans="1:7" x14ac:dyDescent="0.25">
      <c r="A83" s="41">
        <v>202007</v>
      </c>
      <c r="B83" s="42" t="s">
        <v>95</v>
      </c>
      <c r="C83" s="41">
        <v>45</v>
      </c>
      <c r="D83" s="43" t="b">
        <v>0</v>
      </c>
      <c r="E83" s="43" t="b">
        <v>0</v>
      </c>
      <c r="F83" s="43" t="b">
        <v>1</v>
      </c>
      <c r="G83" s="21">
        <v>4904</v>
      </c>
    </row>
    <row r="84" spans="1:7" x14ac:dyDescent="0.25">
      <c r="A84" s="41">
        <v>202007</v>
      </c>
      <c r="B84" s="42" t="s">
        <v>95</v>
      </c>
      <c r="C84" s="41">
        <v>47</v>
      </c>
      <c r="D84" s="43" t="b">
        <v>0</v>
      </c>
      <c r="E84" s="43" t="b">
        <v>0</v>
      </c>
      <c r="F84" s="43" t="b">
        <v>1</v>
      </c>
      <c r="G84" s="21">
        <v>2477</v>
      </c>
    </row>
    <row r="85" spans="1:7" x14ac:dyDescent="0.25">
      <c r="A85" s="41">
        <v>202007</v>
      </c>
      <c r="B85" s="42" t="s">
        <v>95</v>
      </c>
      <c r="C85" s="41">
        <v>56</v>
      </c>
      <c r="D85" s="43" t="b">
        <v>0</v>
      </c>
      <c r="E85" s="43" t="b">
        <v>0</v>
      </c>
      <c r="F85" s="43" t="b">
        <v>1</v>
      </c>
      <c r="G85" s="21">
        <v>31</v>
      </c>
    </row>
    <row r="86" spans="1:7" x14ac:dyDescent="0.25">
      <c r="A86" s="41">
        <v>202007</v>
      </c>
      <c r="B86" s="42" t="s">
        <v>95</v>
      </c>
      <c r="C86" s="41">
        <v>57</v>
      </c>
      <c r="D86" s="43" t="b">
        <v>0</v>
      </c>
      <c r="E86" s="43" t="b">
        <v>0</v>
      </c>
      <c r="F86" s="43" t="b">
        <v>1</v>
      </c>
      <c r="G86" s="21">
        <v>20</v>
      </c>
    </row>
    <row r="87" spans="1:7" x14ac:dyDescent="0.25">
      <c r="A87" s="41">
        <v>202007</v>
      </c>
      <c r="B87" s="42" t="s">
        <v>95</v>
      </c>
      <c r="C87" s="41">
        <v>62</v>
      </c>
      <c r="D87" s="43" t="b">
        <v>0</v>
      </c>
      <c r="E87" s="43" t="b">
        <v>0</v>
      </c>
      <c r="F87" s="43" t="b">
        <v>1</v>
      </c>
      <c r="G87" s="21">
        <v>19</v>
      </c>
    </row>
    <row r="88" spans="1:7" x14ac:dyDescent="0.25">
      <c r="A88" s="41">
        <v>202007</v>
      </c>
      <c r="B88" s="42" t="s">
        <v>95</v>
      </c>
      <c r="C88" s="41">
        <v>66</v>
      </c>
      <c r="D88" s="43" t="b">
        <v>0</v>
      </c>
      <c r="E88" s="43" t="b">
        <v>0</v>
      </c>
      <c r="F88" s="43" t="b">
        <v>1</v>
      </c>
      <c r="G88" s="21">
        <v>4</v>
      </c>
    </row>
    <row r="89" spans="1:7" x14ac:dyDescent="0.25">
      <c r="A89" s="41">
        <v>202007</v>
      </c>
      <c r="B89" s="42" t="s">
        <v>95</v>
      </c>
      <c r="C89" s="41">
        <v>70</v>
      </c>
      <c r="D89" s="43" t="b">
        <v>0</v>
      </c>
      <c r="E89" s="43" t="b">
        <v>0</v>
      </c>
      <c r="F89" s="43" t="b">
        <v>1</v>
      </c>
      <c r="G89" s="21">
        <v>3042.5</v>
      </c>
    </row>
    <row r="90" spans="1:7" x14ac:dyDescent="0.25">
      <c r="A90" s="41">
        <v>202007</v>
      </c>
      <c r="B90" s="42" t="s">
        <v>95</v>
      </c>
      <c r="C90" s="41">
        <v>73</v>
      </c>
      <c r="D90" s="43" t="b">
        <v>0</v>
      </c>
      <c r="E90" s="43" t="b">
        <v>0</v>
      </c>
      <c r="F90" s="43" t="b">
        <v>1</v>
      </c>
      <c r="G90" s="21">
        <v>282</v>
      </c>
    </row>
    <row r="91" spans="1:7" x14ac:dyDescent="0.25">
      <c r="A91" s="41">
        <v>202007</v>
      </c>
      <c r="B91" s="42" t="s">
        <v>101</v>
      </c>
      <c r="C91" s="41">
        <v>45</v>
      </c>
      <c r="D91" s="43" t="b">
        <v>1</v>
      </c>
      <c r="E91" s="43" t="b">
        <v>0</v>
      </c>
      <c r="F91" s="43" t="b">
        <v>0</v>
      </c>
      <c r="G91" s="21">
        <v>8122</v>
      </c>
    </row>
    <row r="92" spans="1:7" x14ac:dyDescent="0.25">
      <c r="A92" s="41">
        <v>202007</v>
      </c>
      <c r="B92" s="42" t="s">
        <v>101</v>
      </c>
      <c r="C92" s="41">
        <v>47</v>
      </c>
      <c r="D92" s="43" t="b">
        <v>1</v>
      </c>
      <c r="E92" s="43" t="b">
        <v>0</v>
      </c>
      <c r="F92" s="43" t="b">
        <v>0</v>
      </c>
      <c r="G92" s="21">
        <v>3365</v>
      </c>
    </row>
    <row r="93" spans="1:7" x14ac:dyDescent="0.25">
      <c r="A93" s="41">
        <v>202007</v>
      </c>
      <c r="B93" s="42" t="s">
        <v>101</v>
      </c>
      <c r="C93" s="41">
        <v>56</v>
      </c>
      <c r="D93" s="43" t="b">
        <v>1</v>
      </c>
      <c r="E93" s="43" t="b">
        <v>0</v>
      </c>
      <c r="F93" s="43" t="b">
        <v>0</v>
      </c>
      <c r="G93" s="21">
        <v>103</v>
      </c>
    </row>
    <row r="94" spans="1:7" x14ac:dyDescent="0.25">
      <c r="A94" s="41">
        <v>202007</v>
      </c>
      <c r="B94" s="42" t="s">
        <v>101</v>
      </c>
      <c r="C94" s="41">
        <v>57</v>
      </c>
      <c r="D94" s="43" t="b">
        <v>1</v>
      </c>
      <c r="E94" s="43" t="b">
        <v>0</v>
      </c>
      <c r="F94" s="43" t="b">
        <v>0</v>
      </c>
      <c r="G94" s="21">
        <v>105</v>
      </c>
    </row>
    <row r="95" spans="1:7" x14ac:dyDescent="0.25">
      <c r="A95" s="41">
        <v>202007</v>
      </c>
      <c r="B95" s="42" t="s">
        <v>101</v>
      </c>
      <c r="C95" s="41">
        <v>62</v>
      </c>
      <c r="D95" s="43" t="b">
        <v>1</v>
      </c>
      <c r="E95" s="43" t="b">
        <v>0</v>
      </c>
      <c r="F95" s="43" t="b">
        <v>0</v>
      </c>
      <c r="G95" s="21">
        <v>132</v>
      </c>
    </row>
    <row r="96" spans="1:7" x14ac:dyDescent="0.25">
      <c r="A96" s="41">
        <v>202007</v>
      </c>
      <c r="B96" s="42" t="s">
        <v>101</v>
      </c>
      <c r="C96" s="41">
        <v>64</v>
      </c>
      <c r="D96" s="43" t="b">
        <v>1</v>
      </c>
      <c r="E96" s="43" t="b">
        <v>0</v>
      </c>
      <c r="F96" s="43" t="b">
        <v>0</v>
      </c>
      <c r="G96" s="21">
        <v>75</v>
      </c>
    </row>
    <row r="97" spans="1:7" x14ac:dyDescent="0.25">
      <c r="A97" s="41">
        <v>202007</v>
      </c>
      <c r="B97" s="42" t="s">
        <v>101</v>
      </c>
      <c r="C97" s="41">
        <v>66</v>
      </c>
      <c r="D97" s="43" t="b">
        <v>1</v>
      </c>
      <c r="E97" s="43" t="b">
        <v>0</v>
      </c>
      <c r="F97" s="43" t="b">
        <v>0</v>
      </c>
      <c r="G97" s="21">
        <v>3</v>
      </c>
    </row>
    <row r="98" spans="1:7" x14ac:dyDescent="0.25">
      <c r="A98" s="41">
        <v>202007</v>
      </c>
      <c r="B98" s="42" t="s">
        <v>101</v>
      </c>
      <c r="C98" s="41">
        <v>70</v>
      </c>
      <c r="D98" s="43" t="b">
        <v>1</v>
      </c>
      <c r="E98" s="43" t="b">
        <v>0</v>
      </c>
      <c r="F98" s="43" t="b">
        <v>0</v>
      </c>
      <c r="G98" s="21">
        <v>4685</v>
      </c>
    </row>
    <row r="99" spans="1:7" x14ac:dyDescent="0.25">
      <c r="A99" s="41">
        <v>202007</v>
      </c>
      <c r="B99" s="42" t="s">
        <v>101</v>
      </c>
      <c r="C99" s="41">
        <v>73</v>
      </c>
      <c r="D99" s="43" t="b">
        <v>1</v>
      </c>
      <c r="E99" s="43" t="b">
        <v>0</v>
      </c>
      <c r="F99" s="43" t="b">
        <v>0</v>
      </c>
      <c r="G99" s="21">
        <v>564</v>
      </c>
    </row>
    <row r="100" spans="1:7" x14ac:dyDescent="0.25">
      <c r="A100" s="41">
        <v>202007</v>
      </c>
      <c r="B100" s="42" t="s">
        <v>122</v>
      </c>
      <c r="C100" s="41">
        <v>45</v>
      </c>
      <c r="D100" s="43" t="b">
        <v>0</v>
      </c>
      <c r="E100" s="43" t="b">
        <v>1</v>
      </c>
      <c r="F100" s="43" t="b">
        <v>0</v>
      </c>
      <c r="G100" s="21">
        <v>2293</v>
      </c>
    </row>
    <row r="101" spans="1:7" x14ac:dyDescent="0.25">
      <c r="A101" s="41">
        <v>202007</v>
      </c>
      <c r="B101" s="42" t="s">
        <v>122</v>
      </c>
      <c r="C101" s="41">
        <v>47</v>
      </c>
      <c r="D101" s="43" t="b">
        <v>0</v>
      </c>
      <c r="E101" s="43" t="b">
        <v>1</v>
      </c>
      <c r="F101" s="43" t="b">
        <v>0</v>
      </c>
      <c r="G101" s="21">
        <v>1483</v>
      </c>
    </row>
    <row r="102" spans="1:7" x14ac:dyDescent="0.25">
      <c r="A102" s="41">
        <v>202007</v>
      </c>
      <c r="B102" s="42" t="s">
        <v>122</v>
      </c>
      <c r="C102" s="41">
        <v>56</v>
      </c>
      <c r="D102" s="43" t="b">
        <v>0</v>
      </c>
      <c r="E102" s="43" t="b">
        <v>1</v>
      </c>
      <c r="F102" s="43" t="b">
        <v>0</v>
      </c>
      <c r="G102" s="21">
        <v>54</v>
      </c>
    </row>
    <row r="103" spans="1:7" x14ac:dyDescent="0.25">
      <c r="A103" s="41">
        <v>202007</v>
      </c>
      <c r="B103" s="42" t="s">
        <v>122</v>
      </c>
      <c r="C103" s="41">
        <v>57</v>
      </c>
      <c r="D103" s="43" t="b">
        <v>0</v>
      </c>
      <c r="E103" s="43" t="b">
        <v>1</v>
      </c>
      <c r="F103" s="43" t="b">
        <v>0</v>
      </c>
      <c r="G103" s="21">
        <v>20</v>
      </c>
    </row>
    <row r="104" spans="1:7" x14ac:dyDescent="0.25">
      <c r="A104" s="41">
        <v>202007</v>
      </c>
      <c r="B104" s="42" t="s">
        <v>122</v>
      </c>
      <c r="C104" s="41">
        <v>62</v>
      </c>
      <c r="D104" s="43" t="b">
        <v>0</v>
      </c>
      <c r="E104" s="43" t="b">
        <v>1</v>
      </c>
      <c r="F104" s="43" t="b">
        <v>0</v>
      </c>
      <c r="G104" s="21">
        <v>47</v>
      </c>
    </row>
    <row r="105" spans="1:7" x14ac:dyDescent="0.25">
      <c r="A105" s="41">
        <v>202007</v>
      </c>
      <c r="B105" s="42" t="s">
        <v>122</v>
      </c>
      <c r="C105" s="41">
        <v>64</v>
      </c>
      <c r="D105" s="43" t="b">
        <v>0</v>
      </c>
      <c r="E105" s="43" t="b">
        <v>1</v>
      </c>
      <c r="F105" s="43" t="b">
        <v>0</v>
      </c>
      <c r="G105" s="21">
        <v>82</v>
      </c>
    </row>
    <row r="106" spans="1:7" x14ac:dyDescent="0.25">
      <c r="A106" s="41">
        <v>202007</v>
      </c>
      <c r="B106" s="42" t="s">
        <v>122</v>
      </c>
      <c r="C106" s="41">
        <v>70</v>
      </c>
      <c r="D106" s="43" t="b">
        <v>0</v>
      </c>
      <c r="E106" s="43" t="b">
        <v>1</v>
      </c>
      <c r="F106" s="43" t="b">
        <v>0</v>
      </c>
      <c r="G106" s="21">
        <v>4187.5</v>
      </c>
    </row>
    <row r="107" spans="1:7" x14ac:dyDescent="0.25">
      <c r="A107" s="41">
        <v>202007</v>
      </c>
      <c r="B107" s="42" t="s">
        <v>122</v>
      </c>
      <c r="C107" s="41">
        <v>73</v>
      </c>
      <c r="D107" s="43" t="b">
        <v>0</v>
      </c>
      <c r="E107" s="43" t="b">
        <v>1</v>
      </c>
      <c r="F107" s="43" t="b">
        <v>0</v>
      </c>
      <c r="G107" s="21">
        <v>817</v>
      </c>
    </row>
    <row r="108" spans="1:7" x14ac:dyDescent="0.25">
      <c r="A108" s="41">
        <v>202007</v>
      </c>
      <c r="B108" s="42" t="s">
        <v>117</v>
      </c>
      <c r="C108" s="41">
        <v>45</v>
      </c>
      <c r="D108" s="43" t="b">
        <v>0</v>
      </c>
      <c r="E108" s="43" t="b">
        <v>1</v>
      </c>
      <c r="F108" s="43" t="b">
        <v>0</v>
      </c>
      <c r="G108" s="21">
        <v>7237</v>
      </c>
    </row>
    <row r="109" spans="1:7" x14ac:dyDescent="0.25">
      <c r="A109" s="41">
        <v>202007</v>
      </c>
      <c r="B109" s="42" t="s">
        <v>117</v>
      </c>
      <c r="C109" s="41">
        <v>47</v>
      </c>
      <c r="D109" s="43" t="b">
        <v>0</v>
      </c>
      <c r="E109" s="43" t="b">
        <v>1</v>
      </c>
      <c r="F109" s="43" t="b">
        <v>0</v>
      </c>
      <c r="G109" s="21">
        <v>1858</v>
      </c>
    </row>
    <row r="110" spans="1:7" x14ac:dyDescent="0.25">
      <c r="A110" s="41">
        <v>202007</v>
      </c>
      <c r="B110" s="42" t="s">
        <v>117</v>
      </c>
      <c r="C110" s="41">
        <v>56</v>
      </c>
      <c r="D110" s="43" t="b">
        <v>0</v>
      </c>
      <c r="E110" s="43" t="b">
        <v>1</v>
      </c>
      <c r="F110" s="43" t="b">
        <v>0</v>
      </c>
      <c r="G110" s="21">
        <v>85</v>
      </c>
    </row>
    <row r="111" spans="1:7" x14ac:dyDescent="0.25">
      <c r="A111" s="41">
        <v>202007</v>
      </c>
      <c r="B111" s="42" t="s">
        <v>117</v>
      </c>
      <c r="C111" s="41">
        <v>62</v>
      </c>
      <c r="D111" s="43" t="b">
        <v>0</v>
      </c>
      <c r="E111" s="43" t="b">
        <v>1</v>
      </c>
      <c r="F111" s="43" t="b">
        <v>0</v>
      </c>
      <c r="G111" s="21">
        <v>17</v>
      </c>
    </row>
    <row r="112" spans="1:7" x14ac:dyDescent="0.25">
      <c r="A112" s="41">
        <v>202007</v>
      </c>
      <c r="B112" s="42" t="s">
        <v>117</v>
      </c>
      <c r="C112" s="41">
        <v>64</v>
      </c>
      <c r="D112" s="43" t="b">
        <v>0</v>
      </c>
      <c r="E112" s="43" t="b">
        <v>1</v>
      </c>
      <c r="F112" s="43" t="b">
        <v>0</v>
      </c>
      <c r="G112" s="21">
        <v>43</v>
      </c>
    </row>
    <row r="113" spans="1:7" x14ac:dyDescent="0.25">
      <c r="A113" s="41">
        <v>202007</v>
      </c>
      <c r="B113" s="42" t="s">
        <v>117</v>
      </c>
      <c r="C113" s="41">
        <v>66</v>
      </c>
      <c r="D113" s="43" t="b">
        <v>0</v>
      </c>
      <c r="E113" s="43" t="b">
        <v>1</v>
      </c>
      <c r="F113" s="43" t="b">
        <v>0</v>
      </c>
      <c r="G113" s="21">
        <v>128</v>
      </c>
    </row>
    <row r="114" spans="1:7" x14ac:dyDescent="0.25">
      <c r="A114" s="41">
        <v>202007</v>
      </c>
      <c r="B114" s="42" t="s">
        <v>117</v>
      </c>
      <c r="C114" s="41">
        <v>70</v>
      </c>
      <c r="D114" s="43" t="b">
        <v>0</v>
      </c>
      <c r="E114" s="43" t="b">
        <v>1</v>
      </c>
      <c r="F114" s="43" t="b">
        <v>0</v>
      </c>
      <c r="G114" s="21">
        <v>5360</v>
      </c>
    </row>
    <row r="115" spans="1:7" x14ac:dyDescent="0.25">
      <c r="A115" s="41">
        <v>202007</v>
      </c>
      <c r="B115" s="42" t="s">
        <v>117</v>
      </c>
      <c r="C115" s="41">
        <v>73</v>
      </c>
      <c r="D115" s="43" t="b">
        <v>0</v>
      </c>
      <c r="E115" s="43" t="b">
        <v>1</v>
      </c>
      <c r="F115" s="43" t="b">
        <v>0</v>
      </c>
      <c r="G115" s="21">
        <v>11</v>
      </c>
    </row>
    <row r="116" spans="1:7" x14ac:dyDescent="0.25">
      <c r="A116" s="41">
        <v>202007</v>
      </c>
      <c r="B116" s="42" t="s">
        <v>130</v>
      </c>
      <c r="C116" s="41">
        <v>45</v>
      </c>
      <c r="D116" s="43" t="b">
        <v>0</v>
      </c>
      <c r="E116" s="43" t="b">
        <v>1</v>
      </c>
      <c r="F116" s="43" t="b">
        <v>0</v>
      </c>
      <c r="G116" s="21">
        <v>2552</v>
      </c>
    </row>
    <row r="117" spans="1:7" x14ac:dyDescent="0.25">
      <c r="A117" s="41">
        <v>202007</v>
      </c>
      <c r="B117" s="42" t="s">
        <v>130</v>
      </c>
      <c r="C117" s="41">
        <v>47</v>
      </c>
      <c r="D117" s="43" t="b">
        <v>0</v>
      </c>
      <c r="E117" s="43" t="b">
        <v>1</v>
      </c>
      <c r="F117" s="43" t="b">
        <v>0</v>
      </c>
      <c r="G117" s="21">
        <v>1406</v>
      </c>
    </row>
    <row r="118" spans="1:7" x14ac:dyDescent="0.25">
      <c r="A118" s="41">
        <v>202007</v>
      </c>
      <c r="B118" s="42" t="s">
        <v>130</v>
      </c>
      <c r="C118" s="41">
        <v>56</v>
      </c>
      <c r="D118" s="43" t="b">
        <v>0</v>
      </c>
      <c r="E118" s="43" t="b">
        <v>1</v>
      </c>
      <c r="F118" s="43" t="b">
        <v>0</v>
      </c>
      <c r="G118" s="21">
        <v>162</v>
      </c>
    </row>
    <row r="119" spans="1:7" x14ac:dyDescent="0.25">
      <c r="A119" s="41">
        <v>202007</v>
      </c>
      <c r="B119" s="42" t="s">
        <v>130</v>
      </c>
      <c r="C119" s="41">
        <v>62</v>
      </c>
      <c r="D119" s="43" t="b">
        <v>0</v>
      </c>
      <c r="E119" s="43" t="b">
        <v>1</v>
      </c>
      <c r="F119" s="43" t="b">
        <v>0</v>
      </c>
      <c r="G119" s="21">
        <v>47</v>
      </c>
    </row>
    <row r="120" spans="1:7" x14ac:dyDescent="0.25">
      <c r="A120" s="41">
        <v>202007</v>
      </c>
      <c r="B120" s="42" t="s">
        <v>130</v>
      </c>
      <c r="C120" s="41">
        <v>64</v>
      </c>
      <c r="D120" s="43" t="b">
        <v>0</v>
      </c>
      <c r="E120" s="43" t="b">
        <v>1</v>
      </c>
      <c r="F120" s="43" t="b">
        <v>0</v>
      </c>
      <c r="G120" s="21">
        <v>115</v>
      </c>
    </row>
    <row r="121" spans="1:7" x14ac:dyDescent="0.25">
      <c r="A121" s="41">
        <v>202007</v>
      </c>
      <c r="B121" s="42" t="s">
        <v>130</v>
      </c>
      <c r="C121" s="41">
        <v>66</v>
      </c>
      <c r="D121" s="43" t="b">
        <v>0</v>
      </c>
      <c r="E121" s="43" t="b">
        <v>1</v>
      </c>
      <c r="F121" s="43" t="b">
        <v>0</v>
      </c>
      <c r="G121" s="21">
        <v>82</v>
      </c>
    </row>
    <row r="122" spans="1:7" x14ac:dyDescent="0.25">
      <c r="A122" s="41">
        <v>202007</v>
      </c>
      <c r="B122" s="42" t="s">
        <v>130</v>
      </c>
      <c r="C122" s="41">
        <v>70</v>
      </c>
      <c r="D122" s="43" t="b">
        <v>0</v>
      </c>
      <c r="E122" s="43" t="b">
        <v>1</v>
      </c>
      <c r="F122" s="43" t="b">
        <v>0</v>
      </c>
      <c r="G122" s="21">
        <v>4320</v>
      </c>
    </row>
    <row r="123" spans="1:7" x14ac:dyDescent="0.25">
      <c r="A123" s="41">
        <v>202007</v>
      </c>
      <c r="B123" s="42" t="s">
        <v>130</v>
      </c>
      <c r="C123" s="41">
        <v>73</v>
      </c>
      <c r="D123" s="43" t="b">
        <v>0</v>
      </c>
      <c r="E123" s="43" t="b">
        <v>1</v>
      </c>
      <c r="F123" s="43" t="b">
        <v>0</v>
      </c>
      <c r="G123" s="21">
        <v>658</v>
      </c>
    </row>
    <row r="124" spans="1:7" x14ac:dyDescent="0.25">
      <c r="A124" s="41">
        <v>202007</v>
      </c>
      <c r="B124" s="42" t="s">
        <v>129</v>
      </c>
      <c r="C124" s="41">
        <v>45</v>
      </c>
      <c r="D124" s="43" t="b">
        <v>0</v>
      </c>
      <c r="E124" s="43" t="b">
        <v>1</v>
      </c>
      <c r="F124" s="43" t="b">
        <v>0</v>
      </c>
      <c r="G124" s="21">
        <v>1396</v>
      </c>
    </row>
    <row r="125" spans="1:7" x14ac:dyDescent="0.25">
      <c r="A125" s="41">
        <v>202007</v>
      </c>
      <c r="B125" s="42" t="s">
        <v>129</v>
      </c>
      <c r="C125" s="41">
        <v>47</v>
      </c>
      <c r="D125" s="43" t="b">
        <v>0</v>
      </c>
      <c r="E125" s="43" t="b">
        <v>1</v>
      </c>
      <c r="F125" s="43" t="b">
        <v>0</v>
      </c>
      <c r="G125" s="21">
        <v>1291</v>
      </c>
    </row>
    <row r="126" spans="1:7" x14ac:dyDescent="0.25">
      <c r="A126" s="41">
        <v>202007</v>
      </c>
      <c r="B126" s="42" t="s">
        <v>129</v>
      </c>
      <c r="C126" s="41">
        <v>56</v>
      </c>
      <c r="D126" s="43" t="b">
        <v>0</v>
      </c>
      <c r="E126" s="43" t="b">
        <v>1</v>
      </c>
      <c r="F126" s="43" t="b">
        <v>0</v>
      </c>
      <c r="G126" s="21">
        <v>85</v>
      </c>
    </row>
    <row r="127" spans="1:7" x14ac:dyDescent="0.25">
      <c r="A127" s="41">
        <v>202007</v>
      </c>
      <c r="B127" s="42" t="s">
        <v>129</v>
      </c>
      <c r="C127" s="41">
        <v>57</v>
      </c>
      <c r="D127" s="43" t="b">
        <v>0</v>
      </c>
      <c r="E127" s="43" t="b">
        <v>1</v>
      </c>
      <c r="F127" s="43" t="b">
        <v>0</v>
      </c>
      <c r="G127" s="21">
        <v>3</v>
      </c>
    </row>
    <row r="128" spans="1:7" x14ac:dyDescent="0.25">
      <c r="A128" s="41">
        <v>202007</v>
      </c>
      <c r="B128" s="42" t="s">
        <v>129</v>
      </c>
      <c r="C128" s="41">
        <v>64</v>
      </c>
      <c r="D128" s="43" t="b">
        <v>0</v>
      </c>
      <c r="E128" s="43" t="b">
        <v>1</v>
      </c>
      <c r="F128" s="43" t="b">
        <v>0</v>
      </c>
      <c r="G128" s="21">
        <v>64</v>
      </c>
    </row>
    <row r="129" spans="1:7" x14ac:dyDescent="0.25">
      <c r="A129" s="41">
        <v>202007</v>
      </c>
      <c r="B129" s="42" t="s">
        <v>129</v>
      </c>
      <c r="C129" s="41">
        <v>66</v>
      </c>
      <c r="D129" s="43" t="b">
        <v>0</v>
      </c>
      <c r="E129" s="43" t="b">
        <v>1</v>
      </c>
      <c r="F129" s="43" t="b">
        <v>0</v>
      </c>
      <c r="G129" s="21">
        <v>20</v>
      </c>
    </row>
    <row r="130" spans="1:7" x14ac:dyDescent="0.25">
      <c r="A130" s="41">
        <v>202007</v>
      </c>
      <c r="B130" s="42" t="s">
        <v>129</v>
      </c>
      <c r="C130" s="41">
        <v>70</v>
      </c>
      <c r="D130" s="43" t="b">
        <v>0</v>
      </c>
      <c r="E130" s="43" t="b">
        <v>1</v>
      </c>
      <c r="F130" s="43" t="b">
        <v>0</v>
      </c>
      <c r="G130" s="21">
        <v>315</v>
      </c>
    </row>
    <row r="131" spans="1:7" x14ac:dyDescent="0.25">
      <c r="A131" s="41">
        <v>202007</v>
      </c>
      <c r="B131" s="42" t="s">
        <v>129</v>
      </c>
      <c r="C131" s="41">
        <v>73</v>
      </c>
      <c r="D131" s="43" t="b">
        <v>0</v>
      </c>
      <c r="E131" s="43" t="b">
        <v>1</v>
      </c>
      <c r="F131" s="43" t="b">
        <v>0</v>
      </c>
      <c r="G131" s="21">
        <v>168</v>
      </c>
    </row>
    <row r="132" spans="1:7" x14ac:dyDescent="0.25">
      <c r="A132" s="41">
        <v>202007</v>
      </c>
      <c r="B132" s="42" t="s">
        <v>124</v>
      </c>
      <c r="C132" s="41">
        <v>45</v>
      </c>
      <c r="D132" s="43" t="b">
        <v>0</v>
      </c>
      <c r="E132" s="43" t="b">
        <v>1</v>
      </c>
      <c r="F132" s="43" t="b">
        <v>0</v>
      </c>
      <c r="G132" s="21">
        <v>2652</v>
      </c>
    </row>
    <row r="133" spans="1:7" x14ac:dyDescent="0.25">
      <c r="A133" s="41">
        <v>202007</v>
      </c>
      <c r="B133" s="42" t="s">
        <v>124</v>
      </c>
      <c r="C133" s="41">
        <v>47</v>
      </c>
      <c r="D133" s="43" t="b">
        <v>0</v>
      </c>
      <c r="E133" s="43" t="b">
        <v>1</v>
      </c>
      <c r="F133" s="43" t="b">
        <v>0</v>
      </c>
      <c r="G133" s="21">
        <v>471</v>
      </c>
    </row>
    <row r="134" spans="1:7" x14ac:dyDescent="0.25">
      <c r="A134" s="41">
        <v>202007</v>
      </c>
      <c r="B134" s="42" t="s">
        <v>124</v>
      </c>
      <c r="C134" s="41">
        <v>56</v>
      </c>
      <c r="D134" s="43" t="b">
        <v>0</v>
      </c>
      <c r="E134" s="43" t="b">
        <v>1</v>
      </c>
      <c r="F134" s="43" t="b">
        <v>0</v>
      </c>
      <c r="G134" s="21">
        <v>50</v>
      </c>
    </row>
    <row r="135" spans="1:7" x14ac:dyDescent="0.25">
      <c r="A135" s="41">
        <v>202007</v>
      </c>
      <c r="B135" s="42" t="s">
        <v>124</v>
      </c>
      <c r="C135" s="41">
        <v>57</v>
      </c>
      <c r="D135" s="43" t="b">
        <v>0</v>
      </c>
      <c r="E135" s="43" t="b">
        <v>1</v>
      </c>
      <c r="F135" s="43" t="b">
        <v>0</v>
      </c>
      <c r="G135" s="21">
        <v>15</v>
      </c>
    </row>
    <row r="136" spans="1:7" x14ac:dyDescent="0.25">
      <c r="A136" s="41">
        <v>202007</v>
      </c>
      <c r="B136" s="42" t="s">
        <v>124</v>
      </c>
      <c r="C136" s="41">
        <v>62</v>
      </c>
      <c r="D136" s="43" t="b">
        <v>0</v>
      </c>
      <c r="E136" s="43" t="b">
        <v>1</v>
      </c>
      <c r="F136" s="43" t="b">
        <v>0</v>
      </c>
      <c r="G136" s="21">
        <v>83</v>
      </c>
    </row>
    <row r="137" spans="1:7" x14ac:dyDescent="0.25">
      <c r="A137" s="41">
        <v>202007</v>
      </c>
      <c r="B137" s="42" t="s">
        <v>124</v>
      </c>
      <c r="C137" s="41">
        <v>64</v>
      </c>
      <c r="D137" s="43" t="b">
        <v>0</v>
      </c>
      <c r="E137" s="43" t="b">
        <v>1</v>
      </c>
      <c r="F137" s="43" t="b">
        <v>0</v>
      </c>
      <c r="G137" s="21">
        <v>74</v>
      </c>
    </row>
    <row r="138" spans="1:7" x14ac:dyDescent="0.25">
      <c r="A138" s="41">
        <v>202007</v>
      </c>
      <c r="B138" s="42" t="s">
        <v>124</v>
      </c>
      <c r="C138" s="41">
        <v>66</v>
      </c>
      <c r="D138" s="43" t="b">
        <v>0</v>
      </c>
      <c r="E138" s="43" t="b">
        <v>1</v>
      </c>
      <c r="F138" s="43" t="b">
        <v>0</v>
      </c>
      <c r="G138" s="21">
        <v>1</v>
      </c>
    </row>
    <row r="139" spans="1:7" x14ac:dyDescent="0.25">
      <c r="A139" s="41">
        <v>202007</v>
      </c>
      <c r="B139" s="42" t="s">
        <v>124</v>
      </c>
      <c r="C139" s="41">
        <v>70</v>
      </c>
      <c r="D139" s="43" t="b">
        <v>0</v>
      </c>
      <c r="E139" s="43" t="b">
        <v>1</v>
      </c>
      <c r="F139" s="43" t="b">
        <v>0</v>
      </c>
      <c r="G139" s="21">
        <v>2995</v>
      </c>
    </row>
    <row r="140" spans="1:7" x14ac:dyDescent="0.25">
      <c r="A140" s="41">
        <v>202007</v>
      </c>
      <c r="B140" s="42" t="s">
        <v>124</v>
      </c>
      <c r="C140" s="41">
        <v>73</v>
      </c>
      <c r="D140" s="43" t="b">
        <v>0</v>
      </c>
      <c r="E140" s="43" t="b">
        <v>1</v>
      </c>
      <c r="F140" s="43" t="b">
        <v>0</v>
      </c>
      <c r="G140" s="21">
        <v>336</v>
      </c>
    </row>
    <row r="141" spans="1:7" x14ac:dyDescent="0.25">
      <c r="A141" s="41">
        <v>202007</v>
      </c>
      <c r="B141" s="42" t="s">
        <v>102</v>
      </c>
      <c r="C141" s="41">
        <v>45</v>
      </c>
      <c r="D141" s="43" t="b">
        <v>1</v>
      </c>
      <c r="E141" s="43" t="b">
        <v>0</v>
      </c>
      <c r="F141" s="43" t="b">
        <v>0</v>
      </c>
      <c r="G141" s="21">
        <v>6238</v>
      </c>
    </row>
    <row r="142" spans="1:7" x14ac:dyDescent="0.25">
      <c r="A142" s="41">
        <v>202007</v>
      </c>
      <c r="B142" s="42" t="s">
        <v>102</v>
      </c>
      <c r="C142" s="41">
        <v>47</v>
      </c>
      <c r="D142" s="43" t="b">
        <v>1</v>
      </c>
      <c r="E142" s="43" t="b">
        <v>0</v>
      </c>
      <c r="F142" s="43" t="b">
        <v>0</v>
      </c>
      <c r="G142" s="21">
        <v>3474</v>
      </c>
    </row>
    <row r="143" spans="1:7" x14ac:dyDescent="0.25">
      <c r="A143" s="41">
        <v>202007</v>
      </c>
      <c r="B143" s="42" t="s">
        <v>102</v>
      </c>
      <c r="C143" s="41">
        <v>56</v>
      </c>
      <c r="D143" s="43" t="b">
        <v>1</v>
      </c>
      <c r="E143" s="43" t="b">
        <v>0</v>
      </c>
      <c r="F143" s="43" t="b">
        <v>0</v>
      </c>
      <c r="G143" s="21">
        <v>756</v>
      </c>
    </row>
    <row r="144" spans="1:7" x14ac:dyDescent="0.25">
      <c r="A144" s="41">
        <v>202007</v>
      </c>
      <c r="B144" s="42" t="s">
        <v>102</v>
      </c>
      <c r="C144" s="41">
        <v>57</v>
      </c>
      <c r="D144" s="43" t="b">
        <v>1</v>
      </c>
      <c r="E144" s="43" t="b">
        <v>0</v>
      </c>
      <c r="F144" s="43" t="b">
        <v>0</v>
      </c>
      <c r="G144" s="21">
        <v>84</v>
      </c>
    </row>
    <row r="145" spans="1:7" x14ac:dyDescent="0.25">
      <c r="A145" s="41">
        <v>202007</v>
      </c>
      <c r="B145" s="42" t="s">
        <v>102</v>
      </c>
      <c r="C145" s="41">
        <v>60</v>
      </c>
      <c r="D145" s="43" t="b">
        <v>1</v>
      </c>
      <c r="E145" s="43" t="b">
        <v>0</v>
      </c>
      <c r="F145" s="43" t="b">
        <v>0</v>
      </c>
      <c r="G145" s="21">
        <v>3</v>
      </c>
    </row>
    <row r="146" spans="1:7" x14ac:dyDescent="0.25">
      <c r="A146" s="41">
        <v>202007</v>
      </c>
      <c r="B146" s="42" t="s">
        <v>102</v>
      </c>
      <c r="C146" s="41">
        <v>62</v>
      </c>
      <c r="D146" s="43" t="b">
        <v>1</v>
      </c>
      <c r="E146" s="43" t="b">
        <v>0</v>
      </c>
      <c r="F146" s="43" t="b">
        <v>0</v>
      </c>
      <c r="G146" s="21">
        <v>40</v>
      </c>
    </row>
    <row r="147" spans="1:7" x14ac:dyDescent="0.25">
      <c r="A147" s="41">
        <v>202007</v>
      </c>
      <c r="B147" s="42" t="s">
        <v>102</v>
      </c>
      <c r="C147" s="41">
        <v>64</v>
      </c>
      <c r="D147" s="43" t="b">
        <v>1</v>
      </c>
      <c r="E147" s="43" t="b">
        <v>0</v>
      </c>
      <c r="F147" s="43" t="b">
        <v>0</v>
      </c>
      <c r="G147" s="21">
        <v>68</v>
      </c>
    </row>
    <row r="148" spans="1:7" x14ac:dyDescent="0.25">
      <c r="A148" s="41">
        <v>202007</v>
      </c>
      <c r="B148" s="42" t="s">
        <v>102</v>
      </c>
      <c r="C148" s="41">
        <v>66</v>
      </c>
      <c r="D148" s="43" t="b">
        <v>1</v>
      </c>
      <c r="E148" s="43" t="b">
        <v>0</v>
      </c>
      <c r="F148" s="43" t="b">
        <v>0</v>
      </c>
      <c r="G148" s="21">
        <v>247</v>
      </c>
    </row>
    <row r="149" spans="1:7" x14ac:dyDescent="0.25">
      <c r="A149" s="41">
        <v>202007</v>
      </c>
      <c r="B149" s="42" t="s">
        <v>102</v>
      </c>
      <c r="C149" s="41">
        <v>70</v>
      </c>
      <c r="D149" s="43" t="b">
        <v>1</v>
      </c>
      <c r="E149" s="43" t="b">
        <v>0</v>
      </c>
      <c r="F149" s="43" t="b">
        <v>0</v>
      </c>
      <c r="G149" s="21">
        <v>24445</v>
      </c>
    </row>
    <row r="150" spans="1:7" x14ac:dyDescent="0.25">
      <c r="A150" s="41">
        <v>202007</v>
      </c>
      <c r="B150" s="42" t="s">
        <v>102</v>
      </c>
      <c r="C150" s="41">
        <v>73</v>
      </c>
      <c r="D150" s="43" t="b">
        <v>1</v>
      </c>
      <c r="E150" s="43" t="b">
        <v>0</v>
      </c>
      <c r="F150" s="43" t="b">
        <v>0</v>
      </c>
      <c r="G150" s="21">
        <v>777</v>
      </c>
    </row>
    <row r="151" spans="1:7" x14ac:dyDescent="0.25">
      <c r="A151" s="41">
        <v>202007</v>
      </c>
      <c r="B151" s="42" t="s">
        <v>143</v>
      </c>
      <c r="C151" s="41">
        <v>45</v>
      </c>
      <c r="D151" s="43" t="b">
        <v>0</v>
      </c>
      <c r="E151" s="43" t="b">
        <v>0</v>
      </c>
      <c r="F151" s="43" t="b">
        <v>1</v>
      </c>
      <c r="G151" s="21">
        <v>0</v>
      </c>
    </row>
    <row r="152" spans="1:7" x14ac:dyDescent="0.25">
      <c r="A152" s="41">
        <v>202007</v>
      </c>
      <c r="B152" s="42" t="s">
        <v>143</v>
      </c>
      <c r="C152" s="41">
        <v>45</v>
      </c>
      <c r="D152" s="43" t="b">
        <v>0</v>
      </c>
      <c r="E152" s="43" t="b">
        <v>1</v>
      </c>
      <c r="F152" s="43" t="b">
        <v>0</v>
      </c>
      <c r="G152" s="21">
        <v>0</v>
      </c>
    </row>
    <row r="153" spans="1:7" x14ac:dyDescent="0.25">
      <c r="A153" s="41">
        <v>202007</v>
      </c>
      <c r="B153" s="42" t="s">
        <v>143</v>
      </c>
      <c r="C153" s="41">
        <v>45</v>
      </c>
      <c r="D153" s="43" t="b">
        <v>1</v>
      </c>
      <c r="E153" s="43" t="b">
        <v>0</v>
      </c>
      <c r="F153" s="43" t="b">
        <v>0</v>
      </c>
      <c r="G153" s="21">
        <v>0</v>
      </c>
    </row>
    <row r="154" spans="1:7" x14ac:dyDescent="0.25">
      <c r="A154" s="41">
        <v>202007</v>
      </c>
      <c r="B154" s="42" t="s">
        <v>143</v>
      </c>
      <c r="C154" s="41">
        <v>47</v>
      </c>
      <c r="D154" s="43" t="b">
        <v>0</v>
      </c>
      <c r="E154" s="43" t="b">
        <v>0</v>
      </c>
      <c r="F154" s="43" t="b">
        <v>1</v>
      </c>
      <c r="G154" s="21">
        <v>0</v>
      </c>
    </row>
    <row r="155" spans="1:7" x14ac:dyDescent="0.25">
      <c r="A155" s="41">
        <v>202007</v>
      </c>
      <c r="B155" s="42" t="s">
        <v>143</v>
      </c>
      <c r="C155" s="41">
        <v>47</v>
      </c>
      <c r="D155" s="43" t="b">
        <v>0</v>
      </c>
      <c r="E155" s="43" t="b">
        <v>1</v>
      </c>
      <c r="F155" s="43" t="b">
        <v>0</v>
      </c>
      <c r="G155" s="21">
        <v>0</v>
      </c>
    </row>
    <row r="156" spans="1:7" x14ac:dyDescent="0.25">
      <c r="A156" s="41">
        <v>202007</v>
      </c>
      <c r="B156" s="42" t="s">
        <v>143</v>
      </c>
      <c r="C156" s="41">
        <v>47</v>
      </c>
      <c r="D156" s="43" t="b">
        <v>1</v>
      </c>
      <c r="E156" s="43" t="b">
        <v>0</v>
      </c>
      <c r="F156" s="43" t="b">
        <v>0</v>
      </c>
      <c r="G156" s="21">
        <v>0</v>
      </c>
    </row>
    <row r="157" spans="1:7" x14ac:dyDescent="0.25">
      <c r="A157" s="41">
        <v>202007</v>
      </c>
      <c r="B157" s="42" t="s">
        <v>143</v>
      </c>
      <c r="C157" s="41">
        <v>54</v>
      </c>
      <c r="D157" s="43" t="b">
        <v>0</v>
      </c>
      <c r="E157" s="43" t="b">
        <v>0</v>
      </c>
      <c r="F157" s="43" t="b">
        <v>1</v>
      </c>
      <c r="G157" s="21">
        <v>0</v>
      </c>
    </row>
    <row r="158" spans="1:7" x14ac:dyDescent="0.25">
      <c r="A158" s="41">
        <v>202007</v>
      </c>
      <c r="B158" s="42" t="s">
        <v>143</v>
      </c>
      <c r="C158" s="41">
        <v>54</v>
      </c>
      <c r="D158" s="43" t="b">
        <v>0</v>
      </c>
      <c r="E158" s="43" t="b">
        <v>1</v>
      </c>
      <c r="F158" s="43" t="b">
        <v>0</v>
      </c>
      <c r="G158" s="21">
        <v>0</v>
      </c>
    </row>
    <row r="159" spans="1:7" x14ac:dyDescent="0.25">
      <c r="A159" s="41">
        <v>202007</v>
      </c>
      <c r="B159" s="42" t="s">
        <v>143</v>
      </c>
      <c r="C159" s="41">
        <v>54</v>
      </c>
      <c r="D159" s="43" t="b">
        <v>1</v>
      </c>
      <c r="E159" s="43" t="b">
        <v>0</v>
      </c>
      <c r="F159" s="43" t="b">
        <v>0</v>
      </c>
      <c r="G159" s="21">
        <v>0</v>
      </c>
    </row>
    <row r="160" spans="1:7" x14ac:dyDescent="0.25">
      <c r="A160" s="41">
        <v>202007</v>
      </c>
      <c r="B160" s="42" t="s">
        <v>143</v>
      </c>
      <c r="C160" s="41">
        <v>56</v>
      </c>
      <c r="D160" s="43" t="b">
        <v>0</v>
      </c>
      <c r="E160" s="43" t="b">
        <v>0</v>
      </c>
      <c r="F160" s="43" t="b">
        <v>1</v>
      </c>
      <c r="G160" s="21">
        <v>0</v>
      </c>
    </row>
    <row r="161" spans="1:7" x14ac:dyDescent="0.25">
      <c r="A161" s="41">
        <v>202007</v>
      </c>
      <c r="B161" s="42" t="s">
        <v>143</v>
      </c>
      <c r="C161" s="41">
        <v>56</v>
      </c>
      <c r="D161" s="43" t="b">
        <v>0</v>
      </c>
      <c r="E161" s="43" t="b">
        <v>1</v>
      </c>
      <c r="F161" s="43" t="b">
        <v>0</v>
      </c>
      <c r="G161" s="21">
        <v>0</v>
      </c>
    </row>
    <row r="162" spans="1:7" x14ac:dyDescent="0.25">
      <c r="A162" s="41">
        <v>202007</v>
      </c>
      <c r="B162" s="42" t="s">
        <v>143</v>
      </c>
      <c r="C162" s="41">
        <v>56</v>
      </c>
      <c r="D162" s="43" t="b">
        <v>1</v>
      </c>
      <c r="E162" s="43" t="b">
        <v>0</v>
      </c>
      <c r="F162" s="43" t="b">
        <v>0</v>
      </c>
      <c r="G162" s="21">
        <v>0</v>
      </c>
    </row>
    <row r="163" spans="1:7" x14ac:dyDescent="0.25">
      <c r="A163" s="41">
        <v>202007</v>
      </c>
      <c r="B163" s="42" t="s">
        <v>143</v>
      </c>
      <c r="C163" s="41">
        <v>66</v>
      </c>
      <c r="D163" s="43" t="b">
        <v>0</v>
      </c>
      <c r="E163" s="43" t="b">
        <v>0</v>
      </c>
      <c r="F163" s="43" t="b">
        <v>1</v>
      </c>
      <c r="G163" s="21">
        <v>0</v>
      </c>
    </row>
    <row r="164" spans="1:7" x14ac:dyDescent="0.25">
      <c r="A164" s="41">
        <v>202007</v>
      </c>
      <c r="B164" s="42" t="s">
        <v>143</v>
      </c>
      <c r="C164" s="41">
        <v>66</v>
      </c>
      <c r="D164" s="43" t="b">
        <v>0</v>
      </c>
      <c r="E164" s="43" t="b">
        <v>1</v>
      </c>
      <c r="F164" s="43" t="b">
        <v>0</v>
      </c>
      <c r="G164" s="21">
        <v>0</v>
      </c>
    </row>
    <row r="165" spans="1:7" x14ac:dyDescent="0.25">
      <c r="A165" s="41">
        <v>202007</v>
      </c>
      <c r="B165" s="42" t="s">
        <v>143</v>
      </c>
      <c r="C165" s="41">
        <v>66</v>
      </c>
      <c r="D165" s="43" t="b">
        <v>1</v>
      </c>
      <c r="E165" s="43" t="b">
        <v>0</v>
      </c>
      <c r="F165" s="43" t="b">
        <v>0</v>
      </c>
      <c r="G165" s="21">
        <v>0</v>
      </c>
    </row>
    <row r="166" spans="1:7" x14ac:dyDescent="0.25">
      <c r="A166" s="41">
        <v>202007</v>
      </c>
      <c r="B166" s="42" t="s">
        <v>143</v>
      </c>
      <c r="C166" s="41">
        <v>70</v>
      </c>
      <c r="D166" s="43" t="b">
        <v>0</v>
      </c>
      <c r="E166" s="43" t="b">
        <v>0</v>
      </c>
      <c r="F166" s="43" t="b">
        <v>1</v>
      </c>
      <c r="G166" s="21">
        <v>0</v>
      </c>
    </row>
    <row r="167" spans="1:7" x14ac:dyDescent="0.25">
      <c r="A167" s="41">
        <v>202007</v>
      </c>
      <c r="B167" s="42" t="s">
        <v>143</v>
      </c>
      <c r="C167" s="41">
        <v>70</v>
      </c>
      <c r="D167" s="43" t="b">
        <v>0</v>
      </c>
      <c r="E167" s="43" t="b">
        <v>1</v>
      </c>
      <c r="F167" s="43" t="b">
        <v>0</v>
      </c>
      <c r="G167" s="21">
        <v>0</v>
      </c>
    </row>
    <row r="168" spans="1:7" x14ac:dyDescent="0.25">
      <c r="A168" s="41">
        <v>202007</v>
      </c>
      <c r="B168" s="42" t="s">
        <v>143</v>
      </c>
      <c r="C168" s="41">
        <v>70</v>
      </c>
      <c r="D168" s="43" t="b">
        <v>1</v>
      </c>
      <c r="E168" s="43" t="b">
        <v>0</v>
      </c>
      <c r="F168" s="43" t="b">
        <v>0</v>
      </c>
      <c r="G168" s="21">
        <v>0</v>
      </c>
    </row>
    <row r="169" spans="1:7" x14ac:dyDescent="0.25">
      <c r="A169" s="41">
        <v>202007</v>
      </c>
      <c r="B169" s="42" t="s">
        <v>145</v>
      </c>
      <c r="C169" s="41">
        <v>47</v>
      </c>
      <c r="D169" s="43" t="b">
        <v>0</v>
      </c>
      <c r="E169" s="43" t="b">
        <v>0</v>
      </c>
      <c r="F169" s="43" t="b">
        <v>1</v>
      </c>
      <c r="G169" s="21">
        <v>1</v>
      </c>
    </row>
    <row r="170" spans="1:7" x14ac:dyDescent="0.25">
      <c r="A170" s="41">
        <v>202007</v>
      </c>
      <c r="B170" s="42" t="s">
        <v>145</v>
      </c>
      <c r="C170" s="41">
        <v>47</v>
      </c>
      <c r="D170" s="43" t="b">
        <v>0</v>
      </c>
      <c r="E170" s="43" t="b">
        <v>1</v>
      </c>
      <c r="F170" s="43" t="b">
        <v>0</v>
      </c>
      <c r="G170" s="21">
        <v>1</v>
      </c>
    </row>
    <row r="171" spans="1:7" x14ac:dyDescent="0.25">
      <c r="A171" s="41">
        <v>202007</v>
      </c>
      <c r="B171" s="42" t="s">
        <v>145</v>
      </c>
      <c r="C171" s="41">
        <v>47</v>
      </c>
      <c r="D171" s="43" t="b">
        <v>1</v>
      </c>
      <c r="E171" s="43" t="b">
        <v>0</v>
      </c>
      <c r="F171" s="43" t="b">
        <v>0</v>
      </c>
      <c r="G171" s="21">
        <v>1</v>
      </c>
    </row>
    <row r="172" spans="1:7" x14ac:dyDescent="0.25">
      <c r="A172" s="41">
        <v>202007</v>
      </c>
      <c r="B172" s="42" t="s">
        <v>123</v>
      </c>
      <c r="C172" s="41">
        <v>45</v>
      </c>
      <c r="D172" s="43" t="b">
        <v>0</v>
      </c>
      <c r="E172" s="43" t="b">
        <v>0</v>
      </c>
      <c r="F172" s="43" t="b">
        <v>1</v>
      </c>
      <c r="G172" s="21">
        <v>8665</v>
      </c>
    </row>
    <row r="173" spans="1:7" x14ac:dyDescent="0.25">
      <c r="A173" s="41">
        <v>202007</v>
      </c>
      <c r="B173" s="42" t="s">
        <v>123</v>
      </c>
      <c r="C173" s="41">
        <v>47</v>
      </c>
      <c r="D173" s="43" t="b">
        <v>0</v>
      </c>
      <c r="E173" s="43" t="b">
        <v>0</v>
      </c>
      <c r="F173" s="43" t="b">
        <v>1</v>
      </c>
      <c r="G173" s="21">
        <v>5496</v>
      </c>
    </row>
    <row r="174" spans="1:7" x14ac:dyDescent="0.25">
      <c r="A174" s="41">
        <v>202007</v>
      </c>
      <c r="B174" s="42" t="s">
        <v>123</v>
      </c>
      <c r="C174" s="41">
        <v>56</v>
      </c>
      <c r="D174" s="43" t="b">
        <v>0</v>
      </c>
      <c r="E174" s="43" t="b">
        <v>0</v>
      </c>
      <c r="F174" s="43" t="b">
        <v>1</v>
      </c>
      <c r="G174" s="21">
        <v>311</v>
      </c>
    </row>
    <row r="175" spans="1:7" x14ac:dyDescent="0.25">
      <c r="A175" s="41">
        <v>202007</v>
      </c>
      <c r="B175" s="42" t="s">
        <v>123</v>
      </c>
      <c r="C175" s="41">
        <v>57</v>
      </c>
      <c r="D175" s="43" t="b">
        <v>0</v>
      </c>
      <c r="E175" s="43" t="b">
        <v>0</v>
      </c>
      <c r="F175" s="43" t="b">
        <v>1</v>
      </c>
      <c r="G175" s="21">
        <v>3</v>
      </c>
    </row>
    <row r="176" spans="1:7" x14ac:dyDescent="0.25">
      <c r="A176" s="41">
        <v>202007</v>
      </c>
      <c r="B176" s="42" t="s">
        <v>123</v>
      </c>
      <c r="C176" s="41">
        <v>62</v>
      </c>
      <c r="D176" s="43" t="b">
        <v>0</v>
      </c>
      <c r="E176" s="43" t="b">
        <v>0</v>
      </c>
      <c r="F176" s="43" t="b">
        <v>1</v>
      </c>
      <c r="G176" s="21">
        <v>63</v>
      </c>
    </row>
    <row r="177" spans="1:7" x14ac:dyDescent="0.25">
      <c r="A177" s="41">
        <v>202007</v>
      </c>
      <c r="B177" s="42" t="s">
        <v>123</v>
      </c>
      <c r="C177" s="41">
        <v>64</v>
      </c>
      <c r="D177" s="43" t="b">
        <v>0</v>
      </c>
      <c r="E177" s="43" t="b">
        <v>0</v>
      </c>
      <c r="F177" s="43" t="b">
        <v>1</v>
      </c>
      <c r="G177" s="21">
        <v>235</v>
      </c>
    </row>
    <row r="178" spans="1:7" x14ac:dyDescent="0.25">
      <c r="A178" s="41">
        <v>202007</v>
      </c>
      <c r="B178" s="42" t="s">
        <v>123</v>
      </c>
      <c r="C178" s="41">
        <v>66</v>
      </c>
      <c r="D178" s="43" t="b">
        <v>0</v>
      </c>
      <c r="E178" s="43" t="b">
        <v>0</v>
      </c>
      <c r="F178" s="43" t="b">
        <v>1</v>
      </c>
      <c r="G178" s="21">
        <v>230</v>
      </c>
    </row>
    <row r="179" spans="1:7" x14ac:dyDescent="0.25">
      <c r="A179" s="41">
        <v>202007</v>
      </c>
      <c r="B179" s="42" t="s">
        <v>123</v>
      </c>
      <c r="C179" s="41">
        <v>70</v>
      </c>
      <c r="D179" s="43" t="b">
        <v>0</v>
      </c>
      <c r="E179" s="43" t="b">
        <v>0</v>
      </c>
      <c r="F179" s="43" t="b">
        <v>1</v>
      </c>
      <c r="G179" s="21">
        <v>9915</v>
      </c>
    </row>
    <row r="180" spans="1:7" x14ac:dyDescent="0.25">
      <c r="A180" s="41">
        <v>202007</v>
      </c>
      <c r="B180" s="42" t="s">
        <v>123</v>
      </c>
      <c r="C180" s="41">
        <v>73</v>
      </c>
      <c r="D180" s="43" t="b">
        <v>0</v>
      </c>
      <c r="E180" s="43" t="b">
        <v>0</v>
      </c>
      <c r="F180" s="43" t="b">
        <v>1</v>
      </c>
      <c r="G180" s="21">
        <v>944</v>
      </c>
    </row>
    <row r="181" spans="1:7" x14ac:dyDescent="0.25">
      <c r="A181" s="41">
        <v>202007</v>
      </c>
      <c r="B181" s="42" t="s">
        <v>114</v>
      </c>
      <c r="C181" s="41">
        <v>45</v>
      </c>
      <c r="D181" s="43" t="b">
        <v>0</v>
      </c>
      <c r="E181" s="43" t="b">
        <v>0</v>
      </c>
      <c r="F181" s="43" t="b">
        <v>1</v>
      </c>
      <c r="G181" s="21">
        <v>24988</v>
      </c>
    </row>
    <row r="182" spans="1:7" x14ac:dyDescent="0.25">
      <c r="A182" s="41">
        <v>202007</v>
      </c>
      <c r="B182" s="42" t="s">
        <v>114</v>
      </c>
      <c r="C182" s="41">
        <v>47</v>
      </c>
      <c r="D182" s="43" t="b">
        <v>0</v>
      </c>
      <c r="E182" s="43" t="b">
        <v>0</v>
      </c>
      <c r="F182" s="43" t="b">
        <v>1</v>
      </c>
      <c r="G182" s="21">
        <v>5241</v>
      </c>
    </row>
    <row r="183" spans="1:7" x14ac:dyDescent="0.25">
      <c r="A183" s="41">
        <v>202007</v>
      </c>
      <c r="B183" s="42" t="s">
        <v>114</v>
      </c>
      <c r="C183" s="41">
        <v>54</v>
      </c>
      <c r="D183" s="43" t="b">
        <v>0</v>
      </c>
      <c r="E183" s="43" t="b">
        <v>0</v>
      </c>
      <c r="F183" s="43" t="b">
        <v>1</v>
      </c>
      <c r="G183" s="21">
        <v>2124</v>
      </c>
    </row>
    <row r="184" spans="1:7" x14ac:dyDescent="0.25">
      <c r="A184" s="41">
        <v>202007</v>
      </c>
      <c r="B184" s="42" t="s">
        <v>114</v>
      </c>
      <c r="C184" s="41">
        <v>56</v>
      </c>
      <c r="D184" s="43" t="b">
        <v>0</v>
      </c>
      <c r="E184" s="43" t="b">
        <v>0</v>
      </c>
      <c r="F184" s="43" t="b">
        <v>1</v>
      </c>
      <c r="G184" s="21">
        <v>1214</v>
      </c>
    </row>
    <row r="185" spans="1:7" x14ac:dyDescent="0.25">
      <c r="A185" s="41">
        <v>202007</v>
      </c>
      <c r="B185" s="42" t="s">
        <v>114</v>
      </c>
      <c r="C185" s="41">
        <v>57</v>
      </c>
      <c r="D185" s="43" t="b">
        <v>0</v>
      </c>
      <c r="E185" s="43" t="b">
        <v>0</v>
      </c>
      <c r="F185" s="43" t="b">
        <v>1</v>
      </c>
      <c r="G185" s="21">
        <v>185</v>
      </c>
    </row>
    <row r="186" spans="1:7" x14ac:dyDescent="0.25">
      <c r="A186" s="41">
        <v>202007</v>
      </c>
      <c r="B186" s="42" t="s">
        <v>114</v>
      </c>
      <c r="C186" s="41">
        <v>60</v>
      </c>
      <c r="D186" s="43" t="b">
        <v>0</v>
      </c>
      <c r="E186" s="43" t="b">
        <v>0</v>
      </c>
      <c r="F186" s="43" t="b">
        <v>1</v>
      </c>
      <c r="G186" s="21">
        <v>11</v>
      </c>
    </row>
    <row r="187" spans="1:7" x14ac:dyDescent="0.25">
      <c r="A187" s="41">
        <v>202007</v>
      </c>
      <c r="B187" s="42" t="s">
        <v>114</v>
      </c>
      <c r="C187" s="41">
        <v>62</v>
      </c>
      <c r="D187" s="43" t="b">
        <v>0</v>
      </c>
      <c r="E187" s="43" t="b">
        <v>0</v>
      </c>
      <c r="F187" s="43" t="b">
        <v>1</v>
      </c>
      <c r="G187" s="21">
        <v>278</v>
      </c>
    </row>
    <row r="188" spans="1:7" x14ac:dyDescent="0.25">
      <c r="A188" s="41">
        <v>202007</v>
      </c>
      <c r="B188" s="42" t="s">
        <v>114</v>
      </c>
      <c r="C188" s="41">
        <v>64</v>
      </c>
      <c r="D188" s="43" t="b">
        <v>0</v>
      </c>
      <c r="E188" s="43" t="b">
        <v>0</v>
      </c>
      <c r="F188" s="43" t="b">
        <v>1</v>
      </c>
      <c r="G188" s="21">
        <v>467</v>
      </c>
    </row>
    <row r="189" spans="1:7" x14ac:dyDescent="0.25">
      <c r="A189" s="41">
        <v>202007</v>
      </c>
      <c r="B189" s="42" t="s">
        <v>114</v>
      </c>
      <c r="C189" s="41">
        <v>66</v>
      </c>
      <c r="D189" s="43" t="b">
        <v>0</v>
      </c>
      <c r="E189" s="43" t="b">
        <v>0</v>
      </c>
      <c r="F189" s="43" t="b">
        <v>1</v>
      </c>
      <c r="G189" s="21">
        <v>6</v>
      </c>
    </row>
    <row r="190" spans="1:7" x14ac:dyDescent="0.25">
      <c r="A190" s="41">
        <v>202007</v>
      </c>
      <c r="B190" s="42" t="s">
        <v>114</v>
      </c>
      <c r="C190" s="41">
        <v>70</v>
      </c>
      <c r="D190" s="43" t="b">
        <v>0</v>
      </c>
      <c r="E190" s="43" t="b">
        <v>0</v>
      </c>
      <c r="F190" s="43" t="b">
        <v>1</v>
      </c>
      <c r="G190" s="21">
        <v>27775</v>
      </c>
    </row>
    <row r="191" spans="1:7" x14ac:dyDescent="0.25">
      <c r="A191" s="41">
        <v>202007</v>
      </c>
      <c r="B191" s="42" t="s">
        <v>114</v>
      </c>
      <c r="C191" s="41">
        <v>73</v>
      </c>
      <c r="D191" s="43" t="b">
        <v>0</v>
      </c>
      <c r="E191" s="43" t="b">
        <v>0</v>
      </c>
      <c r="F191" s="43" t="b">
        <v>1</v>
      </c>
      <c r="G191" s="21">
        <v>2188</v>
      </c>
    </row>
    <row r="192" spans="1:7" x14ac:dyDescent="0.25">
      <c r="A192" s="41">
        <v>202007</v>
      </c>
      <c r="B192" s="42" t="s">
        <v>125</v>
      </c>
      <c r="C192" s="41">
        <v>45</v>
      </c>
      <c r="D192" s="43" t="b">
        <v>0</v>
      </c>
      <c r="E192" s="43" t="b">
        <v>0</v>
      </c>
      <c r="F192" s="43" t="b">
        <v>1</v>
      </c>
      <c r="G192" s="21">
        <v>10080</v>
      </c>
    </row>
    <row r="193" spans="1:7" x14ac:dyDescent="0.25">
      <c r="A193" s="41">
        <v>202007</v>
      </c>
      <c r="B193" s="42" t="s">
        <v>125</v>
      </c>
      <c r="C193" s="41">
        <v>47</v>
      </c>
      <c r="D193" s="43" t="b">
        <v>0</v>
      </c>
      <c r="E193" s="43" t="b">
        <v>0</v>
      </c>
      <c r="F193" s="43" t="b">
        <v>1</v>
      </c>
      <c r="G193" s="21">
        <v>4627</v>
      </c>
    </row>
    <row r="194" spans="1:7" x14ac:dyDescent="0.25">
      <c r="A194" s="41">
        <v>202007</v>
      </c>
      <c r="B194" s="42" t="s">
        <v>125</v>
      </c>
      <c r="C194" s="41">
        <v>56</v>
      </c>
      <c r="D194" s="43" t="b">
        <v>0</v>
      </c>
      <c r="E194" s="43" t="b">
        <v>0</v>
      </c>
      <c r="F194" s="43" t="b">
        <v>1</v>
      </c>
      <c r="G194" s="21">
        <v>869</v>
      </c>
    </row>
    <row r="195" spans="1:7" x14ac:dyDescent="0.25">
      <c r="A195" s="41">
        <v>202007</v>
      </c>
      <c r="B195" s="42" t="s">
        <v>125</v>
      </c>
      <c r="C195" s="41">
        <v>57</v>
      </c>
      <c r="D195" s="43" t="b">
        <v>0</v>
      </c>
      <c r="E195" s="43" t="b">
        <v>0</v>
      </c>
      <c r="F195" s="43" t="b">
        <v>1</v>
      </c>
      <c r="G195" s="21">
        <v>99</v>
      </c>
    </row>
    <row r="196" spans="1:7" x14ac:dyDescent="0.25">
      <c r="A196" s="41">
        <v>202007</v>
      </c>
      <c r="B196" s="42" t="s">
        <v>125</v>
      </c>
      <c r="C196" s="41">
        <v>60</v>
      </c>
      <c r="D196" s="43" t="b">
        <v>0</v>
      </c>
      <c r="E196" s="43" t="b">
        <v>0</v>
      </c>
      <c r="F196" s="43" t="b">
        <v>1</v>
      </c>
      <c r="G196" s="21">
        <v>3</v>
      </c>
    </row>
    <row r="197" spans="1:7" x14ac:dyDescent="0.25">
      <c r="A197" s="41">
        <v>202007</v>
      </c>
      <c r="B197" s="42" t="s">
        <v>125</v>
      </c>
      <c r="C197" s="41">
        <v>62</v>
      </c>
      <c r="D197" s="43" t="b">
        <v>0</v>
      </c>
      <c r="E197" s="43" t="b">
        <v>0</v>
      </c>
      <c r="F197" s="43" t="b">
        <v>1</v>
      </c>
      <c r="G197" s="21">
        <v>271</v>
      </c>
    </row>
    <row r="198" spans="1:7" x14ac:dyDescent="0.25">
      <c r="A198" s="41">
        <v>202007</v>
      </c>
      <c r="B198" s="42" t="s">
        <v>125</v>
      </c>
      <c r="C198" s="41">
        <v>64</v>
      </c>
      <c r="D198" s="43" t="b">
        <v>0</v>
      </c>
      <c r="E198" s="43" t="b">
        <v>0</v>
      </c>
      <c r="F198" s="43" t="b">
        <v>1</v>
      </c>
      <c r="G198" s="21">
        <v>377</v>
      </c>
    </row>
    <row r="199" spans="1:7" x14ac:dyDescent="0.25">
      <c r="A199" s="41">
        <v>202007</v>
      </c>
      <c r="B199" s="42" t="s">
        <v>125</v>
      </c>
      <c r="C199" s="41">
        <v>66</v>
      </c>
      <c r="D199" s="43" t="b">
        <v>0</v>
      </c>
      <c r="E199" s="43" t="b">
        <v>0</v>
      </c>
      <c r="F199" s="43" t="b">
        <v>1</v>
      </c>
      <c r="G199" s="21">
        <v>248</v>
      </c>
    </row>
    <row r="200" spans="1:7" x14ac:dyDescent="0.25">
      <c r="A200" s="41">
        <v>202007</v>
      </c>
      <c r="B200" s="42" t="s">
        <v>125</v>
      </c>
      <c r="C200" s="41">
        <v>70</v>
      </c>
      <c r="D200" s="43" t="b">
        <v>0</v>
      </c>
      <c r="E200" s="43" t="b">
        <v>0</v>
      </c>
      <c r="F200" s="43" t="b">
        <v>1</v>
      </c>
      <c r="G200" s="21">
        <v>29880</v>
      </c>
    </row>
    <row r="201" spans="1:7" x14ac:dyDescent="0.25">
      <c r="A201" s="41">
        <v>202007</v>
      </c>
      <c r="B201" s="42" t="s">
        <v>125</v>
      </c>
      <c r="C201" s="41">
        <v>73</v>
      </c>
      <c r="D201" s="43" t="b">
        <v>0</v>
      </c>
      <c r="E201" s="43" t="b">
        <v>0</v>
      </c>
      <c r="F201" s="43" t="b">
        <v>1</v>
      </c>
      <c r="G201" s="21">
        <v>1994</v>
      </c>
    </row>
    <row r="202" spans="1:7" x14ac:dyDescent="0.25">
      <c r="A202" s="41">
        <v>202007</v>
      </c>
      <c r="B202" s="42" t="s">
        <v>116</v>
      </c>
      <c r="C202" s="41">
        <v>45</v>
      </c>
      <c r="D202" s="43" t="b">
        <v>1</v>
      </c>
      <c r="E202" s="43" t="b">
        <v>0</v>
      </c>
      <c r="F202" s="43" t="b">
        <v>0</v>
      </c>
      <c r="G202" s="21">
        <v>9974</v>
      </c>
    </row>
    <row r="203" spans="1:7" x14ac:dyDescent="0.25">
      <c r="A203" s="41">
        <v>202007</v>
      </c>
      <c r="B203" s="42" t="s">
        <v>116</v>
      </c>
      <c r="C203" s="41">
        <v>47</v>
      </c>
      <c r="D203" s="43" t="b">
        <v>1</v>
      </c>
      <c r="E203" s="43" t="b">
        <v>0</v>
      </c>
      <c r="F203" s="43" t="b">
        <v>0</v>
      </c>
      <c r="G203" s="21">
        <v>1592</v>
      </c>
    </row>
    <row r="204" spans="1:7" x14ac:dyDescent="0.25">
      <c r="A204" s="41">
        <v>202007</v>
      </c>
      <c r="B204" s="42" t="s">
        <v>116</v>
      </c>
      <c r="C204" s="41">
        <v>56</v>
      </c>
      <c r="D204" s="43" t="b">
        <v>1</v>
      </c>
      <c r="E204" s="43" t="b">
        <v>0</v>
      </c>
      <c r="F204" s="43" t="b">
        <v>0</v>
      </c>
      <c r="G204" s="21">
        <v>114</v>
      </c>
    </row>
    <row r="205" spans="1:7" x14ac:dyDescent="0.25">
      <c r="A205" s="41">
        <v>202007</v>
      </c>
      <c r="B205" s="42" t="s">
        <v>116</v>
      </c>
      <c r="C205" s="41">
        <v>57</v>
      </c>
      <c r="D205" s="43" t="b">
        <v>1</v>
      </c>
      <c r="E205" s="43" t="b">
        <v>0</v>
      </c>
      <c r="F205" s="43" t="b">
        <v>0</v>
      </c>
      <c r="G205" s="21">
        <v>20</v>
      </c>
    </row>
    <row r="206" spans="1:7" x14ac:dyDescent="0.25">
      <c r="A206" s="41">
        <v>202007</v>
      </c>
      <c r="B206" s="42" t="s">
        <v>116</v>
      </c>
      <c r="C206" s="41">
        <v>62</v>
      </c>
      <c r="D206" s="43" t="b">
        <v>1</v>
      </c>
      <c r="E206" s="43" t="b">
        <v>0</v>
      </c>
      <c r="F206" s="43" t="b">
        <v>0</v>
      </c>
      <c r="G206" s="21">
        <v>60</v>
      </c>
    </row>
    <row r="207" spans="1:7" x14ac:dyDescent="0.25">
      <c r="A207" s="41">
        <v>202007</v>
      </c>
      <c r="B207" s="42" t="s">
        <v>116</v>
      </c>
      <c r="C207" s="41">
        <v>64</v>
      </c>
      <c r="D207" s="43" t="b">
        <v>1</v>
      </c>
      <c r="E207" s="43" t="b">
        <v>0</v>
      </c>
      <c r="F207" s="43" t="b">
        <v>0</v>
      </c>
      <c r="G207" s="21">
        <v>75</v>
      </c>
    </row>
    <row r="208" spans="1:7" x14ac:dyDescent="0.25">
      <c r="A208" s="41">
        <v>202007</v>
      </c>
      <c r="B208" s="42" t="s">
        <v>116</v>
      </c>
      <c r="C208" s="41">
        <v>70</v>
      </c>
      <c r="D208" s="43" t="b">
        <v>1</v>
      </c>
      <c r="E208" s="43" t="b">
        <v>0</v>
      </c>
      <c r="F208" s="43" t="b">
        <v>0</v>
      </c>
      <c r="G208" s="21">
        <v>5387.5</v>
      </c>
    </row>
    <row r="209" spans="1:7" x14ac:dyDescent="0.25">
      <c r="A209" s="41">
        <v>202007</v>
      </c>
      <c r="B209" s="42" t="s">
        <v>116</v>
      </c>
      <c r="C209" s="41">
        <v>73</v>
      </c>
      <c r="D209" s="43" t="b">
        <v>1</v>
      </c>
      <c r="E209" s="43" t="b">
        <v>0</v>
      </c>
      <c r="F209" s="43" t="b">
        <v>0</v>
      </c>
      <c r="G209" s="21">
        <v>910</v>
      </c>
    </row>
    <row r="210" spans="1:7" x14ac:dyDescent="0.25">
      <c r="A210" s="41">
        <v>202007</v>
      </c>
      <c r="B210" s="42" t="s">
        <v>118</v>
      </c>
      <c r="C210" s="41">
        <v>45</v>
      </c>
      <c r="D210" s="43" t="b">
        <v>1</v>
      </c>
      <c r="E210" s="43" t="b">
        <v>0</v>
      </c>
      <c r="F210" s="43" t="b">
        <v>0</v>
      </c>
      <c r="G210" s="21">
        <v>4904</v>
      </c>
    </row>
    <row r="211" spans="1:7" x14ac:dyDescent="0.25">
      <c r="A211" s="41">
        <v>202007</v>
      </c>
      <c r="B211" s="42" t="s">
        <v>118</v>
      </c>
      <c r="C211" s="41">
        <v>47</v>
      </c>
      <c r="D211" s="43" t="b">
        <v>1</v>
      </c>
      <c r="E211" s="43" t="b">
        <v>0</v>
      </c>
      <c r="F211" s="43" t="b">
        <v>0</v>
      </c>
      <c r="G211" s="21">
        <v>2477</v>
      </c>
    </row>
    <row r="212" spans="1:7" x14ac:dyDescent="0.25">
      <c r="A212" s="41">
        <v>202007</v>
      </c>
      <c r="B212" s="42" t="s">
        <v>118</v>
      </c>
      <c r="C212" s="41">
        <v>56</v>
      </c>
      <c r="D212" s="43" t="b">
        <v>1</v>
      </c>
      <c r="E212" s="43" t="b">
        <v>0</v>
      </c>
      <c r="F212" s="43" t="b">
        <v>0</v>
      </c>
      <c r="G212" s="21">
        <v>31</v>
      </c>
    </row>
    <row r="213" spans="1:7" x14ac:dyDescent="0.25">
      <c r="A213" s="41">
        <v>202007</v>
      </c>
      <c r="B213" s="42" t="s">
        <v>118</v>
      </c>
      <c r="C213" s="41">
        <v>57</v>
      </c>
      <c r="D213" s="43" t="b">
        <v>1</v>
      </c>
      <c r="E213" s="43" t="b">
        <v>0</v>
      </c>
      <c r="F213" s="43" t="b">
        <v>0</v>
      </c>
      <c r="G213" s="21">
        <v>20</v>
      </c>
    </row>
    <row r="214" spans="1:7" x14ac:dyDescent="0.25">
      <c r="A214" s="41">
        <v>202007</v>
      </c>
      <c r="B214" s="42" t="s">
        <v>118</v>
      </c>
      <c r="C214" s="41">
        <v>62</v>
      </c>
      <c r="D214" s="43" t="b">
        <v>1</v>
      </c>
      <c r="E214" s="43" t="b">
        <v>0</v>
      </c>
      <c r="F214" s="43" t="b">
        <v>0</v>
      </c>
      <c r="G214" s="21">
        <v>19</v>
      </c>
    </row>
    <row r="215" spans="1:7" x14ac:dyDescent="0.25">
      <c r="A215" s="41">
        <v>202007</v>
      </c>
      <c r="B215" s="42" t="s">
        <v>118</v>
      </c>
      <c r="C215" s="41">
        <v>66</v>
      </c>
      <c r="D215" s="43" t="b">
        <v>1</v>
      </c>
      <c r="E215" s="43" t="b">
        <v>0</v>
      </c>
      <c r="F215" s="43" t="b">
        <v>0</v>
      </c>
      <c r="G215" s="21">
        <v>4</v>
      </c>
    </row>
    <row r="216" spans="1:7" x14ac:dyDescent="0.25">
      <c r="A216" s="41">
        <v>202007</v>
      </c>
      <c r="B216" s="42" t="s">
        <v>118</v>
      </c>
      <c r="C216" s="41">
        <v>70</v>
      </c>
      <c r="D216" s="43" t="b">
        <v>1</v>
      </c>
      <c r="E216" s="43" t="b">
        <v>0</v>
      </c>
      <c r="F216" s="43" t="b">
        <v>0</v>
      </c>
      <c r="G216" s="21">
        <v>3042.5</v>
      </c>
    </row>
    <row r="217" spans="1:7" x14ac:dyDescent="0.25">
      <c r="A217" s="41">
        <v>202007</v>
      </c>
      <c r="B217" s="42" t="s">
        <v>118</v>
      </c>
      <c r="C217" s="41">
        <v>73</v>
      </c>
      <c r="D217" s="43" t="b">
        <v>1</v>
      </c>
      <c r="E217" s="43" t="b">
        <v>0</v>
      </c>
      <c r="F217" s="43" t="b">
        <v>0</v>
      </c>
      <c r="G217" s="21">
        <v>282</v>
      </c>
    </row>
    <row r="218" spans="1:7" x14ac:dyDescent="0.25">
      <c r="A218" s="41">
        <v>202007</v>
      </c>
      <c r="B218" s="42" t="s">
        <v>131</v>
      </c>
      <c r="C218" s="41">
        <v>45</v>
      </c>
      <c r="D218" s="43" t="b">
        <v>0</v>
      </c>
      <c r="E218" s="43" t="b">
        <v>1</v>
      </c>
      <c r="F218" s="43" t="b">
        <v>0</v>
      </c>
      <c r="G218" s="21">
        <v>5161</v>
      </c>
    </row>
    <row r="219" spans="1:7" x14ac:dyDescent="0.25">
      <c r="A219" s="41">
        <v>202007</v>
      </c>
      <c r="B219" s="42" t="s">
        <v>131</v>
      </c>
      <c r="C219" s="41">
        <v>47</v>
      </c>
      <c r="D219" s="43" t="b">
        <v>0</v>
      </c>
      <c r="E219" s="43" t="b">
        <v>1</v>
      </c>
      <c r="F219" s="43" t="b">
        <v>0</v>
      </c>
      <c r="G219" s="21">
        <v>1050</v>
      </c>
    </row>
    <row r="220" spans="1:7" x14ac:dyDescent="0.25">
      <c r="A220" s="41">
        <v>202007</v>
      </c>
      <c r="B220" s="42" t="s">
        <v>131</v>
      </c>
      <c r="C220" s="41">
        <v>56</v>
      </c>
      <c r="D220" s="43" t="b">
        <v>0</v>
      </c>
      <c r="E220" s="43" t="b">
        <v>1</v>
      </c>
      <c r="F220" s="43" t="b">
        <v>0</v>
      </c>
      <c r="G220" s="21">
        <v>39</v>
      </c>
    </row>
    <row r="221" spans="1:7" x14ac:dyDescent="0.25">
      <c r="A221" s="41">
        <v>202007</v>
      </c>
      <c r="B221" s="42" t="s">
        <v>131</v>
      </c>
      <c r="C221" s="41">
        <v>62</v>
      </c>
      <c r="D221" s="43" t="b">
        <v>0</v>
      </c>
      <c r="E221" s="43" t="b">
        <v>1</v>
      </c>
      <c r="F221" s="43" t="b">
        <v>0</v>
      </c>
      <c r="G221" s="21">
        <v>12</v>
      </c>
    </row>
    <row r="222" spans="1:7" x14ac:dyDescent="0.25">
      <c r="A222" s="41">
        <v>202007</v>
      </c>
      <c r="B222" s="42" t="s">
        <v>131</v>
      </c>
      <c r="C222" s="41">
        <v>64</v>
      </c>
      <c r="D222" s="43" t="b">
        <v>0</v>
      </c>
      <c r="E222" s="43" t="b">
        <v>1</v>
      </c>
      <c r="F222" s="43" t="b">
        <v>0</v>
      </c>
      <c r="G222" s="21">
        <v>6</v>
      </c>
    </row>
    <row r="223" spans="1:7" x14ac:dyDescent="0.25">
      <c r="A223" s="41">
        <v>202007</v>
      </c>
      <c r="B223" s="42" t="s">
        <v>131</v>
      </c>
      <c r="C223" s="41">
        <v>70</v>
      </c>
      <c r="D223" s="43" t="b">
        <v>0</v>
      </c>
      <c r="E223" s="43" t="b">
        <v>1</v>
      </c>
      <c r="F223" s="43" t="b">
        <v>0</v>
      </c>
      <c r="G223" s="21">
        <v>1120</v>
      </c>
    </row>
    <row r="224" spans="1:7" x14ac:dyDescent="0.25">
      <c r="A224" s="41">
        <v>202007</v>
      </c>
      <c r="B224" s="42" t="s">
        <v>131</v>
      </c>
      <c r="C224" s="41">
        <v>73</v>
      </c>
      <c r="D224" s="43" t="b">
        <v>0</v>
      </c>
      <c r="E224" s="43" t="b">
        <v>1</v>
      </c>
      <c r="F224" s="43" t="b">
        <v>0</v>
      </c>
      <c r="G224" s="21">
        <v>200</v>
      </c>
    </row>
    <row r="225" spans="1:7" x14ac:dyDescent="0.25">
      <c r="A225" s="41">
        <v>202007</v>
      </c>
      <c r="B225" s="42" t="s">
        <v>119</v>
      </c>
      <c r="C225" s="41">
        <v>45</v>
      </c>
      <c r="D225" s="43" t="b">
        <v>0</v>
      </c>
      <c r="E225" s="43" t="b">
        <v>1</v>
      </c>
      <c r="F225" s="43" t="b">
        <v>0</v>
      </c>
      <c r="G225" s="21">
        <v>4904</v>
      </c>
    </row>
    <row r="226" spans="1:7" x14ac:dyDescent="0.25">
      <c r="A226" s="41">
        <v>202007</v>
      </c>
      <c r="B226" s="42" t="s">
        <v>119</v>
      </c>
      <c r="C226" s="41">
        <v>47</v>
      </c>
      <c r="D226" s="43" t="b">
        <v>0</v>
      </c>
      <c r="E226" s="43" t="b">
        <v>1</v>
      </c>
      <c r="F226" s="43" t="b">
        <v>0</v>
      </c>
      <c r="G226" s="21">
        <v>2477</v>
      </c>
    </row>
    <row r="227" spans="1:7" x14ac:dyDescent="0.25">
      <c r="A227" s="41">
        <v>202007</v>
      </c>
      <c r="B227" s="42" t="s">
        <v>119</v>
      </c>
      <c r="C227" s="41">
        <v>56</v>
      </c>
      <c r="D227" s="43" t="b">
        <v>0</v>
      </c>
      <c r="E227" s="43" t="b">
        <v>1</v>
      </c>
      <c r="F227" s="43" t="b">
        <v>0</v>
      </c>
      <c r="G227" s="21">
        <v>31</v>
      </c>
    </row>
    <row r="228" spans="1:7" x14ac:dyDescent="0.25">
      <c r="A228" s="41">
        <v>202007</v>
      </c>
      <c r="B228" s="42" t="s">
        <v>119</v>
      </c>
      <c r="C228" s="41">
        <v>57</v>
      </c>
      <c r="D228" s="43" t="b">
        <v>0</v>
      </c>
      <c r="E228" s="43" t="b">
        <v>1</v>
      </c>
      <c r="F228" s="43" t="b">
        <v>0</v>
      </c>
      <c r="G228" s="21">
        <v>20</v>
      </c>
    </row>
    <row r="229" spans="1:7" x14ac:dyDescent="0.25">
      <c r="A229" s="41">
        <v>202007</v>
      </c>
      <c r="B229" s="42" t="s">
        <v>119</v>
      </c>
      <c r="C229" s="41">
        <v>62</v>
      </c>
      <c r="D229" s="43" t="b">
        <v>0</v>
      </c>
      <c r="E229" s="43" t="b">
        <v>1</v>
      </c>
      <c r="F229" s="43" t="b">
        <v>0</v>
      </c>
      <c r="G229" s="21">
        <v>19</v>
      </c>
    </row>
    <row r="230" spans="1:7" x14ac:dyDescent="0.25">
      <c r="A230" s="41">
        <v>202007</v>
      </c>
      <c r="B230" s="42" t="s">
        <v>119</v>
      </c>
      <c r="C230" s="41">
        <v>66</v>
      </c>
      <c r="D230" s="43" t="b">
        <v>0</v>
      </c>
      <c r="E230" s="43" t="b">
        <v>1</v>
      </c>
      <c r="F230" s="43" t="b">
        <v>0</v>
      </c>
      <c r="G230" s="21">
        <v>4</v>
      </c>
    </row>
    <row r="231" spans="1:7" x14ac:dyDescent="0.25">
      <c r="A231" s="41">
        <v>202007</v>
      </c>
      <c r="B231" s="42" t="s">
        <v>119</v>
      </c>
      <c r="C231" s="41">
        <v>70</v>
      </c>
      <c r="D231" s="43" t="b">
        <v>0</v>
      </c>
      <c r="E231" s="43" t="b">
        <v>1</v>
      </c>
      <c r="F231" s="43" t="b">
        <v>0</v>
      </c>
      <c r="G231" s="21">
        <v>3042.5</v>
      </c>
    </row>
    <row r="232" spans="1:7" x14ac:dyDescent="0.25">
      <c r="A232" s="41">
        <v>202007</v>
      </c>
      <c r="B232" s="42" t="s">
        <v>119</v>
      </c>
      <c r="C232" s="41">
        <v>73</v>
      </c>
      <c r="D232" s="43" t="b">
        <v>0</v>
      </c>
      <c r="E232" s="43" t="b">
        <v>1</v>
      </c>
      <c r="F232" s="43" t="b">
        <v>0</v>
      </c>
      <c r="G232" s="21">
        <v>282</v>
      </c>
    </row>
    <row r="233" spans="1:7" x14ac:dyDescent="0.25">
      <c r="A233" s="41">
        <v>202007</v>
      </c>
      <c r="B233" s="42" t="s">
        <v>127</v>
      </c>
      <c r="C233" s="41">
        <v>45</v>
      </c>
      <c r="D233" s="43" t="b">
        <v>0</v>
      </c>
      <c r="E233" s="43" t="b">
        <v>1</v>
      </c>
      <c r="F233" s="43" t="b">
        <v>0</v>
      </c>
      <c r="G233" s="21">
        <v>1190</v>
      </c>
    </row>
    <row r="234" spans="1:7" x14ac:dyDescent="0.25">
      <c r="A234" s="41">
        <v>202007</v>
      </c>
      <c r="B234" s="42" t="s">
        <v>127</v>
      </c>
      <c r="C234" s="41">
        <v>47</v>
      </c>
      <c r="D234" s="43" t="b">
        <v>0</v>
      </c>
      <c r="E234" s="43" t="b">
        <v>1</v>
      </c>
      <c r="F234" s="43" t="b">
        <v>0</v>
      </c>
      <c r="G234" s="21">
        <v>682</v>
      </c>
    </row>
    <row r="235" spans="1:7" x14ac:dyDescent="0.25">
      <c r="A235" s="41">
        <v>202007</v>
      </c>
      <c r="B235" s="42" t="s">
        <v>127</v>
      </c>
      <c r="C235" s="41">
        <v>56</v>
      </c>
      <c r="D235" s="43" t="b">
        <v>0</v>
      </c>
      <c r="E235" s="43" t="b">
        <v>1</v>
      </c>
      <c r="F235" s="43" t="b">
        <v>0</v>
      </c>
      <c r="G235" s="21">
        <v>63</v>
      </c>
    </row>
    <row r="236" spans="1:7" x14ac:dyDescent="0.25">
      <c r="A236" s="41">
        <v>202007</v>
      </c>
      <c r="B236" s="42" t="s">
        <v>127</v>
      </c>
      <c r="C236" s="41">
        <v>62</v>
      </c>
      <c r="D236" s="43" t="b">
        <v>0</v>
      </c>
      <c r="E236" s="43" t="b">
        <v>1</v>
      </c>
      <c r="F236" s="43" t="b">
        <v>0</v>
      </c>
      <c r="G236" s="21">
        <v>148</v>
      </c>
    </row>
    <row r="237" spans="1:7" x14ac:dyDescent="0.25">
      <c r="A237" s="41">
        <v>202007</v>
      </c>
      <c r="B237" s="42" t="s">
        <v>127</v>
      </c>
      <c r="C237" s="41">
        <v>64</v>
      </c>
      <c r="D237" s="43" t="b">
        <v>0</v>
      </c>
      <c r="E237" s="43" t="b">
        <v>1</v>
      </c>
      <c r="F237" s="43" t="b">
        <v>0</v>
      </c>
      <c r="G237" s="21">
        <v>235</v>
      </c>
    </row>
    <row r="238" spans="1:7" x14ac:dyDescent="0.25">
      <c r="A238" s="41">
        <v>202007</v>
      </c>
      <c r="B238" s="42" t="s">
        <v>127</v>
      </c>
      <c r="C238" s="41">
        <v>70</v>
      </c>
      <c r="D238" s="43" t="b">
        <v>0</v>
      </c>
      <c r="E238" s="43" t="b">
        <v>1</v>
      </c>
      <c r="F238" s="43" t="b">
        <v>0</v>
      </c>
      <c r="G238" s="21">
        <v>2440</v>
      </c>
    </row>
    <row r="239" spans="1:7" x14ac:dyDescent="0.25">
      <c r="A239" s="41">
        <v>202007</v>
      </c>
      <c r="B239" s="42" t="s">
        <v>127</v>
      </c>
      <c r="C239" s="41">
        <v>73</v>
      </c>
      <c r="D239" s="43" t="b">
        <v>0</v>
      </c>
      <c r="E239" s="43" t="b">
        <v>1</v>
      </c>
      <c r="F239" s="43" t="b">
        <v>0</v>
      </c>
      <c r="G239" s="21">
        <v>881</v>
      </c>
    </row>
    <row r="240" spans="1:7" x14ac:dyDescent="0.25">
      <c r="A240" s="41">
        <v>202007</v>
      </c>
      <c r="B240" s="42" t="s">
        <v>113</v>
      </c>
      <c r="C240" s="41">
        <v>45</v>
      </c>
      <c r="D240" s="43" t="b">
        <v>0</v>
      </c>
      <c r="E240" s="43" t="b">
        <v>1</v>
      </c>
      <c r="F240" s="43" t="b">
        <v>0</v>
      </c>
      <c r="G240" s="21">
        <v>6346</v>
      </c>
    </row>
    <row r="241" spans="1:7" x14ac:dyDescent="0.25">
      <c r="A241" s="41">
        <v>202007</v>
      </c>
      <c r="B241" s="42" t="s">
        <v>113</v>
      </c>
      <c r="C241" s="41">
        <v>47</v>
      </c>
      <c r="D241" s="43" t="b">
        <v>0</v>
      </c>
      <c r="E241" s="43" t="b">
        <v>1</v>
      </c>
      <c r="F241" s="43" t="b">
        <v>0</v>
      </c>
      <c r="G241" s="21">
        <v>2908</v>
      </c>
    </row>
    <row r="242" spans="1:7" x14ac:dyDescent="0.25">
      <c r="A242" s="41">
        <v>202007</v>
      </c>
      <c r="B242" s="42" t="s">
        <v>113</v>
      </c>
      <c r="C242" s="41">
        <v>56</v>
      </c>
      <c r="D242" s="43" t="b">
        <v>0</v>
      </c>
      <c r="E242" s="43" t="b">
        <v>1</v>
      </c>
      <c r="F242" s="43" t="b">
        <v>0</v>
      </c>
      <c r="G242" s="21">
        <v>69</v>
      </c>
    </row>
    <row r="243" spans="1:7" x14ac:dyDescent="0.25">
      <c r="A243" s="41">
        <v>202007</v>
      </c>
      <c r="B243" s="42" t="s">
        <v>113</v>
      </c>
      <c r="C243" s="41">
        <v>60</v>
      </c>
      <c r="D243" s="43" t="b">
        <v>0</v>
      </c>
      <c r="E243" s="43" t="b">
        <v>1</v>
      </c>
      <c r="F243" s="43" t="b">
        <v>0</v>
      </c>
      <c r="G243" s="21">
        <v>11</v>
      </c>
    </row>
    <row r="244" spans="1:7" x14ac:dyDescent="0.25">
      <c r="A244" s="41">
        <v>202007</v>
      </c>
      <c r="B244" s="42" t="s">
        <v>113</v>
      </c>
      <c r="C244" s="41">
        <v>62</v>
      </c>
      <c r="D244" s="43" t="b">
        <v>0</v>
      </c>
      <c r="E244" s="43" t="b">
        <v>1</v>
      </c>
      <c r="F244" s="43" t="b">
        <v>0</v>
      </c>
      <c r="G244" s="21">
        <v>113</v>
      </c>
    </row>
    <row r="245" spans="1:7" x14ac:dyDescent="0.25">
      <c r="A245" s="41">
        <v>202007</v>
      </c>
      <c r="B245" s="42" t="s">
        <v>113</v>
      </c>
      <c r="C245" s="41">
        <v>64</v>
      </c>
      <c r="D245" s="43" t="b">
        <v>0</v>
      </c>
      <c r="E245" s="43" t="b">
        <v>1</v>
      </c>
      <c r="F245" s="43" t="b">
        <v>0</v>
      </c>
      <c r="G245" s="21">
        <v>116</v>
      </c>
    </row>
    <row r="246" spans="1:7" x14ac:dyDescent="0.25">
      <c r="A246" s="41">
        <v>202007</v>
      </c>
      <c r="B246" s="42" t="s">
        <v>113</v>
      </c>
      <c r="C246" s="41">
        <v>66</v>
      </c>
      <c r="D246" s="43" t="b">
        <v>0</v>
      </c>
      <c r="E246" s="43" t="b">
        <v>1</v>
      </c>
      <c r="F246" s="43" t="b">
        <v>0</v>
      </c>
      <c r="G246" s="21">
        <v>3</v>
      </c>
    </row>
    <row r="247" spans="1:7" x14ac:dyDescent="0.25">
      <c r="A247" s="41">
        <v>202007</v>
      </c>
      <c r="B247" s="42" t="s">
        <v>113</v>
      </c>
      <c r="C247" s="41">
        <v>70</v>
      </c>
      <c r="D247" s="43" t="b">
        <v>0</v>
      </c>
      <c r="E247" s="43" t="b">
        <v>1</v>
      </c>
      <c r="F247" s="43" t="b">
        <v>0</v>
      </c>
      <c r="G247" s="21">
        <v>6940</v>
      </c>
    </row>
    <row r="248" spans="1:7" x14ac:dyDescent="0.25">
      <c r="A248" s="41">
        <v>202007</v>
      </c>
      <c r="B248" s="42" t="s">
        <v>113</v>
      </c>
      <c r="C248" s="41">
        <v>73</v>
      </c>
      <c r="D248" s="43" t="b">
        <v>0</v>
      </c>
      <c r="E248" s="43" t="b">
        <v>1</v>
      </c>
      <c r="F248" s="43" t="b">
        <v>0</v>
      </c>
      <c r="G248" s="21">
        <v>359</v>
      </c>
    </row>
    <row r="249" spans="1:7" x14ac:dyDescent="0.25">
      <c r="A249" s="41">
        <v>202007</v>
      </c>
      <c r="B249" s="42" t="s">
        <v>121</v>
      </c>
      <c r="C249" s="41">
        <v>45</v>
      </c>
      <c r="D249" s="43" t="b">
        <v>1</v>
      </c>
      <c r="E249" s="43" t="b">
        <v>0</v>
      </c>
      <c r="F249" s="43" t="b">
        <v>0</v>
      </c>
      <c r="G249" s="21">
        <v>1592</v>
      </c>
    </row>
    <row r="250" spans="1:7" x14ac:dyDescent="0.25">
      <c r="A250" s="41">
        <v>202007</v>
      </c>
      <c r="B250" s="42" t="s">
        <v>121</v>
      </c>
      <c r="C250" s="41">
        <v>47</v>
      </c>
      <c r="D250" s="43" t="b">
        <v>1</v>
      </c>
      <c r="E250" s="43" t="b">
        <v>0</v>
      </c>
      <c r="F250" s="43" t="b">
        <v>0</v>
      </c>
      <c r="G250" s="21">
        <v>1362</v>
      </c>
    </row>
    <row r="251" spans="1:7" x14ac:dyDescent="0.25">
      <c r="A251" s="41">
        <v>202007</v>
      </c>
      <c r="B251" s="42" t="s">
        <v>121</v>
      </c>
      <c r="C251" s="41">
        <v>56</v>
      </c>
      <c r="D251" s="43" t="b">
        <v>1</v>
      </c>
      <c r="E251" s="43" t="b">
        <v>0</v>
      </c>
      <c r="F251" s="43" t="b">
        <v>0</v>
      </c>
      <c r="G251" s="21">
        <v>54</v>
      </c>
    </row>
    <row r="252" spans="1:7" x14ac:dyDescent="0.25">
      <c r="A252" s="41">
        <v>202007</v>
      </c>
      <c r="B252" s="42" t="s">
        <v>121</v>
      </c>
      <c r="C252" s="41">
        <v>62</v>
      </c>
      <c r="D252" s="43" t="b">
        <v>1</v>
      </c>
      <c r="E252" s="43" t="b">
        <v>0</v>
      </c>
      <c r="F252" s="43" t="b">
        <v>0</v>
      </c>
      <c r="G252" s="21">
        <v>5</v>
      </c>
    </row>
    <row r="253" spans="1:7" x14ac:dyDescent="0.25">
      <c r="A253" s="41">
        <v>202007</v>
      </c>
      <c r="B253" s="42" t="s">
        <v>121</v>
      </c>
      <c r="C253" s="41">
        <v>64</v>
      </c>
      <c r="D253" s="43" t="b">
        <v>1</v>
      </c>
      <c r="E253" s="43" t="b">
        <v>0</v>
      </c>
      <c r="F253" s="43" t="b">
        <v>0</v>
      </c>
      <c r="G253" s="21">
        <v>13</v>
      </c>
    </row>
    <row r="254" spans="1:7" x14ac:dyDescent="0.25">
      <c r="A254" s="41">
        <v>202007</v>
      </c>
      <c r="B254" s="42" t="s">
        <v>121</v>
      </c>
      <c r="C254" s="41">
        <v>70</v>
      </c>
      <c r="D254" s="43" t="b">
        <v>1</v>
      </c>
      <c r="E254" s="43" t="b">
        <v>0</v>
      </c>
      <c r="F254" s="43" t="b">
        <v>0</v>
      </c>
      <c r="G254" s="21">
        <v>1030</v>
      </c>
    </row>
    <row r="255" spans="1:7" x14ac:dyDescent="0.25">
      <c r="A255" s="41">
        <v>202007</v>
      </c>
      <c r="B255" s="42" t="s">
        <v>121</v>
      </c>
      <c r="C255" s="41">
        <v>73</v>
      </c>
      <c r="D255" s="43" t="b">
        <v>1</v>
      </c>
      <c r="E255" s="43" t="b">
        <v>0</v>
      </c>
      <c r="F255" s="43" t="b">
        <v>0</v>
      </c>
      <c r="G255" s="21">
        <v>110</v>
      </c>
    </row>
    <row r="256" spans="1:7" x14ac:dyDescent="0.25">
      <c r="A256" s="41">
        <v>202007</v>
      </c>
      <c r="B256" s="42" t="s">
        <v>134</v>
      </c>
      <c r="C256" s="41">
        <v>45</v>
      </c>
      <c r="D256" s="43" t="b">
        <v>0</v>
      </c>
      <c r="E256" s="43" t="b">
        <v>1</v>
      </c>
      <c r="F256" s="43" t="b">
        <v>0</v>
      </c>
      <c r="G256" s="21">
        <v>7383</v>
      </c>
    </row>
    <row r="257" spans="1:7" x14ac:dyDescent="0.25">
      <c r="A257" s="41">
        <v>202007</v>
      </c>
      <c r="B257" s="42" t="s">
        <v>134</v>
      </c>
      <c r="C257" s="41">
        <v>47</v>
      </c>
      <c r="D257" s="43" t="b">
        <v>0</v>
      </c>
      <c r="E257" s="43" t="b">
        <v>1</v>
      </c>
      <c r="F257" s="43" t="b">
        <v>0</v>
      </c>
      <c r="G257" s="21">
        <v>100</v>
      </c>
    </row>
    <row r="258" spans="1:7" x14ac:dyDescent="0.25">
      <c r="A258" s="41">
        <v>202007</v>
      </c>
      <c r="B258" s="42" t="s">
        <v>134</v>
      </c>
      <c r="C258" s="41">
        <v>54</v>
      </c>
      <c r="D258" s="43" t="b">
        <v>0</v>
      </c>
      <c r="E258" s="43" t="b">
        <v>1</v>
      </c>
      <c r="F258" s="43" t="b">
        <v>0</v>
      </c>
      <c r="G258" s="21">
        <v>2124</v>
      </c>
    </row>
    <row r="259" spans="1:7" x14ac:dyDescent="0.25">
      <c r="A259" s="41">
        <v>202007</v>
      </c>
      <c r="B259" s="42" t="s">
        <v>134</v>
      </c>
      <c r="C259" s="41">
        <v>56</v>
      </c>
      <c r="D259" s="43" t="b">
        <v>0</v>
      </c>
      <c r="E259" s="43" t="b">
        <v>1</v>
      </c>
      <c r="F259" s="43" t="b">
        <v>0</v>
      </c>
      <c r="G259" s="21">
        <v>244</v>
      </c>
    </row>
    <row r="260" spans="1:7" x14ac:dyDescent="0.25">
      <c r="A260" s="41">
        <v>202007</v>
      </c>
      <c r="B260" s="42" t="s">
        <v>134</v>
      </c>
      <c r="C260" s="41">
        <v>57</v>
      </c>
      <c r="D260" s="43" t="b">
        <v>0</v>
      </c>
      <c r="E260" s="43" t="b">
        <v>1</v>
      </c>
      <c r="F260" s="43" t="b">
        <v>0</v>
      </c>
      <c r="G260" s="21">
        <v>105</v>
      </c>
    </row>
    <row r="261" spans="1:7" x14ac:dyDescent="0.25">
      <c r="A261" s="41">
        <v>202007</v>
      </c>
      <c r="B261" s="42" t="s">
        <v>134</v>
      </c>
      <c r="C261" s="41">
        <v>62</v>
      </c>
      <c r="D261" s="43" t="b">
        <v>0</v>
      </c>
      <c r="E261" s="43" t="b">
        <v>1</v>
      </c>
      <c r="F261" s="43" t="b">
        <v>0</v>
      </c>
      <c r="G261" s="21">
        <v>55</v>
      </c>
    </row>
    <row r="262" spans="1:7" x14ac:dyDescent="0.25">
      <c r="A262" s="41">
        <v>202007</v>
      </c>
      <c r="B262" s="42" t="s">
        <v>134</v>
      </c>
      <c r="C262" s="41">
        <v>64</v>
      </c>
      <c r="D262" s="43" t="b">
        <v>0</v>
      </c>
      <c r="E262" s="43" t="b">
        <v>1</v>
      </c>
      <c r="F262" s="43" t="b">
        <v>0</v>
      </c>
      <c r="G262" s="21">
        <v>256</v>
      </c>
    </row>
    <row r="263" spans="1:7" x14ac:dyDescent="0.25">
      <c r="A263" s="41">
        <v>202007</v>
      </c>
      <c r="B263" s="42" t="s">
        <v>134</v>
      </c>
      <c r="C263" s="41">
        <v>70</v>
      </c>
      <c r="D263" s="43" t="b">
        <v>0</v>
      </c>
      <c r="E263" s="43" t="b">
        <v>1</v>
      </c>
      <c r="F263" s="43" t="b">
        <v>0</v>
      </c>
      <c r="G263" s="21">
        <v>15475</v>
      </c>
    </row>
    <row r="264" spans="1:7" x14ac:dyDescent="0.25">
      <c r="A264" s="41">
        <v>202007</v>
      </c>
      <c r="B264" s="42" t="s">
        <v>134</v>
      </c>
      <c r="C264" s="41">
        <v>73</v>
      </c>
      <c r="D264" s="43" t="b">
        <v>0</v>
      </c>
      <c r="E264" s="43" t="b">
        <v>1</v>
      </c>
      <c r="F264" s="43" t="b">
        <v>0</v>
      </c>
      <c r="G264" s="21">
        <v>130</v>
      </c>
    </row>
    <row r="265" spans="1:7" x14ac:dyDescent="0.25">
      <c r="A265" s="41">
        <v>202007</v>
      </c>
      <c r="B265" s="42" t="s">
        <v>103</v>
      </c>
      <c r="C265" s="41">
        <v>45</v>
      </c>
      <c r="D265" s="43" t="b">
        <v>1</v>
      </c>
      <c r="E265" s="43" t="b">
        <v>0</v>
      </c>
      <c r="F265" s="43" t="b">
        <v>0</v>
      </c>
      <c r="G265" s="21">
        <v>7073</v>
      </c>
    </row>
    <row r="266" spans="1:7" x14ac:dyDescent="0.25">
      <c r="A266" s="41">
        <v>202007</v>
      </c>
      <c r="B266" s="42" t="s">
        <v>103</v>
      </c>
      <c r="C266" s="41">
        <v>47</v>
      </c>
      <c r="D266" s="43" t="b">
        <v>1</v>
      </c>
      <c r="E266" s="43" t="b">
        <v>0</v>
      </c>
      <c r="F266" s="43" t="b">
        <v>0</v>
      </c>
      <c r="G266" s="21">
        <v>4134</v>
      </c>
    </row>
    <row r="267" spans="1:7" x14ac:dyDescent="0.25">
      <c r="A267" s="41">
        <v>202007</v>
      </c>
      <c r="B267" s="42" t="s">
        <v>103</v>
      </c>
      <c r="C267" s="41">
        <v>56</v>
      </c>
      <c r="D267" s="43" t="b">
        <v>1</v>
      </c>
      <c r="E267" s="43" t="b">
        <v>0</v>
      </c>
      <c r="F267" s="43" t="b">
        <v>0</v>
      </c>
      <c r="G267" s="21">
        <v>257</v>
      </c>
    </row>
    <row r="268" spans="1:7" x14ac:dyDescent="0.25">
      <c r="A268" s="41">
        <v>202007</v>
      </c>
      <c r="B268" s="42" t="s">
        <v>103</v>
      </c>
      <c r="C268" s="41">
        <v>57</v>
      </c>
      <c r="D268" s="43" t="b">
        <v>1</v>
      </c>
      <c r="E268" s="43" t="b">
        <v>0</v>
      </c>
      <c r="F268" s="43" t="b">
        <v>0</v>
      </c>
      <c r="G268" s="21">
        <v>3</v>
      </c>
    </row>
    <row r="269" spans="1:7" x14ac:dyDescent="0.25">
      <c r="A269" s="41">
        <v>202007</v>
      </c>
      <c r="B269" s="42" t="s">
        <v>103</v>
      </c>
      <c r="C269" s="41">
        <v>62</v>
      </c>
      <c r="D269" s="43" t="b">
        <v>1</v>
      </c>
      <c r="E269" s="43" t="b">
        <v>0</v>
      </c>
      <c r="F269" s="43" t="b">
        <v>0</v>
      </c>
      <c r="G269" s="21">
        <v>58</v>
      </c>
    </row>
    <row r="270" spans="1:7" x14ac:dyDescent="0.25">
      <c r="A270" s="41">
        <v>202007</v>
      </c>
      <c r="B270" s="42" t="s">
        <v>103</v>
      </c>
      <c r="C270" s="41">
        <v>64</v>
      </c>
      <c r="D270" s="43" t="b">
        <v>1</v>
      </c>
      <c r="E270" s="43" t="b">
        <v>0</v>
      </c>
      <c r="F270" s="43" t="b">
        <v>0</v>
      </c>
      <c r="G270" s="21">
        <v>222</v>
      </c>
    </row>
    <row r="271" spans="1:7" x14ac:dyDescent="0.25">
      <c r="A271" s="41">
        <v>202007</v>
      </c>
      <c r="B271" s="42" t="s">
        <v>103</v>
      </c>
      <c r="C271" s="41">
        <v>66</v>
      </c>
      <c r="D271" s="43" t="b">
        <v>1</v>
      </c>
      <c r="E271" s="43" t="b">
        <v>0</v>
      </c>
      <c r="F271" s="43" t="b">
        <v>0</v>
      </c>
      <c r="G271" s="21">
        <v>230</v>
      </c>
    </row>
    <row r="272" spans="1:7" x14ac:dyDescent="0.25">
      <c r="A272" s="41">
        <v>202007</v>
      </c>
      <c r="B272" s="42" t="s">
        <v>103</v>
      </c>
      <c r="C272" s="41">
        <v>70</v>
      </c>
      <c r="D272" s="43" t="b">
        <v>1</v>
      </c>
      <c r="E272" s="43" t="b">
        <v>0</v>
      </c>
      <c r="F272" s="43" t="b">
        <v>0</v>
      </c>
      <c r="G272" s="21">
        <v>8885</v>
      </c>
    </row>
    <row r="273" spans="1:7" x14ac:dyDescent="0.25">
      <c r="A273" s="41">
        <v>202007</v>
      </c>
      <c r="B273" s="42" t="s">
        <v>103</v>
      </c>
      <c r="C273" s="41">
        <v>73</v>
      </c>
      <c r="D273" s="43" t="b">
        <v>1</v>
      </c>
      <c r="E273" s="43" t="b">
        <v>0</v>
      </c>
      <c r="F273" s="43" t="b">
        <v>0</v>
      </c>
      <c r="G273" s="21">
        <v>834</v>
      </c>
    </row>
    <row r="274" spans="1:7" x14ac:dyDescent="0.25">
      <c r="A274" s="41">
        <v>202007</v>
      </c>
      <c r="B274" s="42" t="s">
        <v>97</v>
      </c>
      <c r="C274" s="41">
        <v>45</v>
      </c>
      <c r="D274" s="43" t="b">
        <v>0</v>
      </c>
      <c r="E274" s="43" t="b">
        <v>0</v>
      </c>
      <c r="F274" s="43" t="b">
        <v>1</v>
      </c>
      <c r="G274" s="21">
        <v>9974</v>
      </c>
    </row>
    <row r="275" spans="1:7" x14ac:dyDescent="0.25">
      <c r="A275" s="41">
        <v>202007</v>
      </c>
      <c r="B275" s="42" t="s">
        <v>97</v>
      </c>
      <c r="C275" s="41">
        <v>47</v>
      </c>
      <c r="D275" s="43" t="b">
        <v>0</v>
      </c>
      <c r="E275" s="43" t="b">
        <v>0</v>
      </c>
      <c r="F275" s="43" t="b">
        <v>1</v>
      </c>
      <c r="G275" s="21">
        <v>1592</v>
      </c>
    </row>
    <row r="276" spans="1:7" x14ac:dyDescent="0.25">
      <c r="A276" s="41">
        <v>202007</v>
      </c>
      <c r="B276" s="42" t="s">
        <v>97</v>
      </c>
      <c r="C276" s="41">
        <v>56</v>
      </c>
      <c r="D276" s="43" t="b">
        <v>0</v>
      </c>
      <c r="E276" s="43" t="b">
        <v>0</v>
      </c>
      <c r="F276" s="43" t="b">
        <v>1</v>
      </c>
      <c r="G276" s="21">
        <v>114</v>
      </c>
    </row>
    <row r="277" spans="1:7" x14ac:dyDescent="0.25">
      <c r="A277" s="41">
        <v>202007</v>
      </c>
      <c r="B277" s="42" t="s">
        <v>97</v>
      </c>
      <c r="C277" s="41">
        <v>57</v>
      </c>
      <c r="D277" s="43" t="b">
        <v>0</v>
      </c>
      <c r="E277" s="43" t="b">
        <v>0</v>
      </c>
      <c r="F277" s="43" t="b">
        <v>1</v>
      </c>
      <c r="G277" s="21">
        <v>20</v>
      </c>
    </row>
    <row r="278" spans="1:7" x14ac:dyDescent="0.25">
      <c r="A278" s="41">
        <v>202007</v>
      </c>
      <c r="B278" s="42" t="s">
        <v>97</v>
      </c>
      <c r="C278" s="41">
        <v>62</v>
      </c>
      <c r="D278" s="43" t="b">
        <v>0</v>
      </c>
      <c r="E278" s="43" t="b">
        <v>0</v>
      </c>
      <c r="F278" s="43" t="b">
        <v>1</v>
      </c>
      <c r="G278" s="21">
        <v>12</v>
      </c>
    </row>
    <row r="279" spans="1:7" x14ac:dyDescent="0.25">
      <c r="A279" s="41">
        <v>202007</v>
      </c>
      <c r="B279" s="42" t="s">
        <v>97</v>
      </c>
      <c r="C279" s="41">
        <v>64</v>
      </c>
      <c r="D279" s="43" t="b">
        <v>0</v>
      </c>
      <c r="E279" s="43" t="b">
        <v>0</v>
      </c>
      <c r="F279" s="43" t="b">
        <v>1</v>
      </c>
      <c r="G279" s="21">
        <v>6</v>
      </c>
    </row>
    <row r="280" spans="1:7" x14ac:dyDescent="0.25">
      <c r="A280" s="41">
        <v>202007</v>
      </c>
      <c r="B280" s="42" t="s">
        <v>97</v>
      </c>
      <c r="C280" s="41">
        <v>70</v>
      </c>
      <c r="D280" s="43" t="b">
        <v>0</v>
      </c>
      <c r="E280" s="43" t="b">
        <v>0</v>
      </c>
      <c r="F280" s="43" t="b">
        <v>1</v>
      </c>
      <c r="G280" s="21">
        <v>1120</v>
      </c>
    </row>
    <row r="281" spans="1:7" x14ac:dyDescent="0.25">
      <c r="A281" s="41">
        <v>202007</v>
      </c>
      <c r="B281" s="42" t="s">
        <v>97</v>
      </c>
      <c r="C281" s="41">
        <v>73</v>
      </c>
      <c r="D281" s="43" t="b">
        <v>0</v>
      </c>
      <c r="E281" s="43" t="b">
        <v>0</v>
      </c>
      <c r="F281" s="43" t="b">
        <v>1</v>
      </c>
      <c r="G281" s="21">
        <v>910</v>
      </c>
    </row>
  </sheetData>
  <conditionalFormatting sqref="D6:F281">
    <cfRule type="cellIs" dxfId="141" priority="1" operator="equal">
      <formula>FALSE</formula>
    </cfRule>
    <cfRule type="cellIs" dxfId="140" priority="2" operator="equal">
      <formula>TRUE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6AC4A-41A1-4FC7-B112-EB6A5F0A157C}">
  <sheetPr codeName="Planilha14"/>
  <dimension ref="A1:D47"/>
  <sheetViews>
    <sheetView showGridLines="0" workbookViewId="0">
      <pane ySplit="5" topLeftCell="A6" activePane="bottomLeft" state="frozen"/>
      <selection pane="bottomLeft" activeCell="A6" sqref="A6"/>
    </sheetView>
  </sheetViews>
  <sheetFormatPr defaultRowHeight="15" x14ac:dyDescent="0.25"/>
  <cols>
    <col min="1" max="1" width="19" style="1" bestFit="1" customWidth="1"/>
    <col min="2" max="2" width="16.140625" style="1" bestFit="1" customWidth="1"/>
    <col min="3" max="3" width="37.140625" style="1" bestFit="1" customWidth="1"/>
    <col min="4" max="4" width="14.28515625" style="1" bestFit="1" customWidth="1"/>
    <col min="5" max="16384" width="9.140625" style="1"/>
  </cols>
  <sheetData>
    <row r="1" spans="1:4" ht="18.75" x14ac:dyDescent="0.25">
      <c r="A1" s="8" t="s">
        <v>364</v>
      </c>
    </row>
    <row r="5" spans="1:4" x14ac:dyDescent="0.25">
      <c r="A5" s="1" t="s">
        <v>104</v>
      </c>
      <c r="B5" s="1" t="s">
        <v>105</v>
      </c>
      <c r="C5" s="1" t="s">
        <v>110</v>
      </c>
      <c r="D5" s="1" t="s">
        <v>177</v>
      </c>
    </row>
    <row r="6" spans="1:4" x14ac:dyDescent="0.25">
      <c r="A6" s="41">
        <v>202007</v>
      </c>
      <c r="B6" s="41">
        <v>64</v>
      </c>
      <c r="C6" s="9" t="s">
        <v>44</v>
      </c>
      <c r="D6" s="21">
        <v>0</v>
      </c>
    </row>
    <row r="7" spans="1:4" x14ac:dyDescent="0.25">
      <c r="A7" s="41">
        <v>202007</v>
      </c>
      <c r="B7" s="41">
        <v>45</v>
      </c>
      <c r="C7" s="9" t="s">
        <v>96</v>
      </c>
      <c r="D7" s="21">
        <v>18639</v>
      </c>
    </row>
    <row r="8" spans="1:4" x14ac:dyDescent="0.25">
      <c r="A8" s="41">
        <v>202007</v>
      </c>
      <c r="B8" s="41">
        <v>57</v>
      </c>
      <c r="C8" s="9" t="s">
        <v>96</v>
      </c>
      <c r="D8" s="21">
        <v>23</v>
      </c>
    </row>
    <row r="9" spans="1:4" x14ac:dyDescent="0.25">
      <c r="A9" s="41">
        <v>202007</v>
      </c>
      <c r="B9" s="41">
        <v>56</v>
      </c>
      <c r="C9" s="9" t="s">
        <v>94</v>
      </c>
      <c r="D9" s="21">
        <v>900</v>
      </c>
    </row>
    <row r="10" spans="1:4" x14ac:dyDescent="0.25">
      <c r="A10" s="41">
        <v>202007</v>
      </c>
      <c r="B10" s="41">
        <v>56</v>
      </c>
      <c r="C10" s="9" t="s">
        <v>112</v>
      </c>
      <c r="D10" s="21">
        <v>1214</v>
      </c>
    </row>
    <row r="11" spans="1:4" x14ac:dyDescent="0.25">
      <c r="A11" s="41">
        <v>202007</v>
      </c>
      <c r="B11" s="41">
        <v>73</v>
      </c>
      <c r="C11" s="9" t="s">
        <v>96</v>
      </c>
      <c r="D11" s="21">
        <v>1854</v>
      </c>
    </row>
    <row r="12" spans="1:4" x14ac:dyDescent="0.25">
      <c r="A12" s="41">
        <v>202007</v>
      </c>
      <c r="B12" s="41">
        <v>45</v>
      </c>
      <c r="C12" s="9" t="s">
        <v>142</v>
      </c>
      <c r="D12" s="21">
        <v>0</v>
      </c>
    </row>
    <row r="13" spans="1:4" x14ac:dyDescent="0.25">
      <c r="A13" s="41">
        <v>202007</v>
      </c>
      <c r="B13" s="41">
        <v>64</v>
      </c>
      <c r="C13" s="9" t="s">
        <v>112</v>
      </c>
      <c r="D13" s="21">
        <v>467</v>
      </c>
    </row>
    <row r="14" spans="1:4" x14ac:dyDescent="0.25">
      <c r="A14" s="41">
        <v>202007</v>
      </c>
      <c r="B14" s="41">
        <v>70</v>
      </c>
      <c r="C14" s="9" t="s">
        <v>112</v>
      </c>
      <c r="D14" s="21">
        <v>27775</v>
      </c>
    </row>
    <row r="15" spans="1:4" x14ac:dyDescent="0.25">
      <c r="A15" s="41">
        <v>202007</v>
      </c>
      <c r="B15" s="41">
        <v>56</v>
      </c>
      <c r="C15" s="9" t="s">
        <v>142</v>
      </c>
      <c r="D15" s="21">
        <v>0</v>
      </c>
    </row>
    <row r="16" spans="1:4" x14ac:dyDescent="0.25">
      <c r="A16" s="41">
        <v>202007</v>
      </c>
      <c r="B16" s="41">
        <v>70</v>
      </c>
      <c r="C16" s="9" t="s">
        <v>142</v>
      </c>
      <c r="D16" s="21">
        <v>0</v>
      </c>
    </row>
    <row r="17" spans="1:4" x14ac:dyDescent="0.25">
      <c r="A17" s="41">
        <v>202007</v>
      </c>
      <c r="B17" s="41">
        <v>54</v>
      </c>
      <c r="C17" s="9" t="s">
        <v>112</v>
      </c>
      <c r="D17" s="21">
        <v>2124</v>
      </c>
    </row>
    <row r="18" spans="1:4" x14ac:dyDescent="0.25">
      <c r="A18" s="41">
        <v>202007</v>
      </c>
      <c r="B18" s="41">
        <v>66</v>
      </c>
      <c r="C18" s="9" t="s">
        <v>44</v>
      </c>
      <c r="D18" s="21">
        <v>0</v>
      </c>
    </row>
    <row r="19" spans="1:4" x14ac:dyDescent="0.25">
      <c r="A19" s="41">
        <v>202007</v>
      </c>
      <c r="B19" s="41">
        <v>64</v>
      </c>
      <c r="C19" s="9" t="s">
        <v>94</v>
      </c>
      <c r="D19" s="21">
        <v>377</v>
      </c>
    </row>
    <row r="20" spans="1:4" x14ac:dyDescent="0.25">
      <c r="A20" s="41">
        <v>202007</v>
      </c>
      <c r="B20" s="41">
        <v>70</v>
      </c>
      <c r="C20" s="9" t="s">
        <v>96</v>
      </c>
      <c r="D20" s="21">
        <v>15302.5</v>
      </c>
    </row>
    <row r="21" spans="1:4" x14ac:dyDescent="0.25">
      <c r="A21" s="41">
        <v>202007</v>
      </c>
      <c r="B21" s="41">
        <v>62</v>
      </c>
      <c r="C21" s="9" t="s">
        <v>96</v>
      </c>
      <c r="D21" s="21">
        <v>123</v>
      </c>
    </row>
    <row r="22" spans="1:4" x14ac:dyDescent="0.25">
      <c r="A22" s="41">
        <v>202007</v>
      </c>
      <c r="B22" s="41">
        <v>47</v>
      </c>
      <c r="C22" s="9" t="s">
        <v>44</v>
      </c>
      <c r="D22" s="21">
        <v>0</v>
      </c>
    </row>
    <row r="23" spans="1:4" x14ac:dyDescent="0.25">
      <c r="A23" s="41">
        <v>202007</v>
      </c>
      <c r="B23" s="41">
        <v>70</v>
      </c>
      <c r="C23" s="9" t="s">
        <v>94</v>
      </c>
      <c r="D23" s="21">
        <v>32922.5</v>
      </c>
    </row>
    <row r="24" spans="1:4" x14ac:dyDescent="0.25">
      <c r="A24" s="41">
        <v>202007</v>
      </c>
      <c r="B24" s="41">
        <v>47</v>
      </c>
      <c r="C24" s="9" t="s">
        <v>112</v>
      </c>
      <c r="D24" s="21">
        <v>5241</v>
      </c>
    </row>
    <row r="25" spans="1:4" x14ac:dyDescent="0.25">
      <c r="A25" s="41">
        <v>202007</v>
      </c>
      <c r="B25" s="41">
        <v>45</v>
      </c>
      <c r="C25" s="9" t="s">
        <v>94</v>
      </c>
      <c r="D25" s="21">
        <v>14984</v>
      </c>
    </row>
    <row r="26" spans="1:4" x14ac:dyDescent="0.25">
      <c r="A26" s="41">
        <v>202007</v>
      </c>
      <c r="B26" s="41">
        <v>45</v>
      </c>
      <c r="C26" s="9" t="s">
        <v>44</v>
      </c>
      <c r="D26" s="21">
        <v>0</v>
      </c>
    </row>
    <row r="27" spans="1:4" x14ac:dyDescent="0.25">
      <c r="A27" s="41">
        <v>202007</v>
      </c>
      <c r="B27" s="41">
        <v>66</v>
      </c>
      <c r="C27" s="9" t="s">
        <v>94</v>
      </c>
      <c r="D27" s="21">
        <v>252</v>
      </c>
    </row>
    <row r="28" spans="1:4" x14ac:dyDescent="0.25">
      <c r="A28" s="41">
        <v>202007</v>
      </c>
      <c r="B28" s="41">
        <v>66</v>
      </c>
      <c r="C28" s="9" t="s">
        <v>112</v>
      </c>
      <c r="D28" s="21">
        <v>6</v>
      </c>
    </row>
    <row r="29" spans="1:4" x14ac:dyDescent="0.25">
      <c r="A29" s="41">
        <v>202007</v>
      </c>
      <c r="B29" s="41">
        <v>47</v>
      </c>
      <c r="C29" s="9" t="s">
        <v>144</v>
      </c>
      <c r="D29" s="21">
        <v>1</v>
      </c>
    </row>
    <row r="30" spans="1:4" x14ac:dyDescent="0.25">
      <c r="A30" s="41">
        <v>202007</v>
      </c>
      <c r="B30" s="41">
        <v>47</v>
      </c>
      <c r="C30" s="9" t="s">
        <v>94</v>
      </c>
      <c r="D30" s="21">
        <v>7104</v>
      </c>
    </row>
    <row r="31" spans="1:4" x14ac:dyDescent="0.25">
      <c r="A31" s="41">
        <v>202007</v>
      </c>
      <c r="B31" s="41">
        <v>56</v>
      </c>
      <c r="C31" s="9" t="s">
        <v>96</v>
      </c>
      <c r="D31" s="21">
        <v>425</v>
      </c>
    </row>
    <row r="32" spans="1:4" x14ac:dyDescent="0.25">
      <c r="A32" s="41">
        <v>202007</v>
      </c>
      <c r="B32" s="41">
        <v>45</v>
      </c>
      <c r="C32" s="9" t="s">
        <v>112</v>
      </c>
      <c r="D32" s="21">
        <v>24988</v>
      </c>
    </row>
    <row r="33" spans="1:4" x14ac:dyDescent="0.25">
      <c r="A33" s="41">
        <v>202007</v>
      </c>
      <c r="B33" s="41">
        <v>62</v>
      </c>
      <c r="C33" s="9" t="s">
        <v>94</v>
      </c>
      <c r="D33" s="21">
        <v>290</v>
      </c>
    </row>
    <row r="34" spans="1:4" x14ac:dyDescent="0.25">
      <c r="A34" s="41">
        <v>202007</v>
      </c>
      <c r="B34" s="41">
        <v>66</v>
      </c>
      <c r="C34" s="9" t="s">
        <v>96</v>
      </c>
      <c r="D34" s="21">
        <v>230</v>
      </c>
    </row>
    <row r="35" spans="1:4" x14ac:dyDescent="0.25">
      <c r="A35" s="41">
        <v>202007</v>
      </c>
      <c r="B35" s="41">
        <v>62</v>
      </c>
      <c r="C35" s="9" t="s">
        <v>112</v>
      </c>
      <c r="D35" s="21">
        <v>278</v>
      </c>
    </row>
    <row r="36" spans="1:4" x14ac:dyDescent="0.25">
      <c r="A36" s="41">
        <v>202007</v>
      </c>
      <c r="B36" s="41">
        <v>73</v>
      </c>
      <c r="C36" s="9" t="s">
        <v>112</v>
      </c>
      <c r="D36" s="21">
        <v>2188</v>
      </c>
    </row>
    <row r="37" spans="1:4" x14ac:dyDescent="0.25">
      <c r="A37" s="41">
        <v>202007</v>
      </c>
      <c r="B37" s="41">
        <v>47</v>
      </c>
      <c r="C37" s="9" t="s">
        <v>142</v>
      </c>
      <c r="D37" s="21">
        <v>0</v>
      </c>
    </row>
    <row r="38" spans="1:4" x14ac:dyDescent="0.25">
      <c r="A38" s="41">
        <v>202007</v>
      </c>
      <c r="B38" s="41">
        <v>60</v>
      </c>
      <c r="C38" s="9" t="s">
        <v>112</v>
      </c>
      <c r="D38" s="21">
        <v>11</v>
      </c>
    </row>
    <row r="39" spans="1:4" x14ac:dyDescent="0.25">
      <c r="A39" s="41">
        <v>202007</v>
      </c>
      <c r="B39" s="41">
        <v>70</v>
      </c>
      <c r="C39" s="9" t="s">
        <v>44</v>
      </c>
      <c r="D39" s="21">
        <v>0</v>
      </c>
    </row>
    <row r="40" spans="1:4" x14ac:dyDescent="0.25">
      <c r="A40" s="41">
        <v>202007</v>
      </c>
      <c r="B40" s="41">
        <v>66</v>
      </c>
      <c r="C40" s="9" t="s">
        <v>142</v>
      </c>
      <c r="D40" s="21">
        <v>0</v>
      </c>
    </row>
    <row r="41" spans="1:4" x14ac:dyDescent="0.25">
      <c r="A41" s="41">
        <v>202007</v>
      </c>
      <c r="B41" s="41">
        <v>60</v>
      </c>
      <c r="C41" s="9" t="s">
        <v>94</v>
      </c>
      <c r="D41" s="21">
        <v>3</v>
      </c>
    </row>
    <row r="42" spans="1:4" x14ac:dyDescent="0.25">
      <c r="A42" s="41">
        <v>202007</v>
      </c>
      <c r="B42" s="41">
        <v>64</v>
      </c>
      <c r="C42" s="9" t="s">
        <v>96</v>
      </c>
      <c r="D42" s="21">
        <v>310</v>
      </c>
    </row>
    <row r="43" spans="1:4" x14ac:dyDescent="0.25">
      <c r="A43" s="41">
        <v>202007</v>
      </c>
      <c r="B43" s="41">
        <v>73</v>
      </c>
      <c r="C43" s="9" t="s">
        <v>94</v>
      </c>
      <c r="D43" s="21">
        <v>2276</v>
      </c>
    </row>
    <row r="44" spans="1:4" x14ac:dyDescent="0.25">
      <c r="A44" s="41">
        <v>202007</v>
      </c>
      <c r="B44" s="41">
        <v>57</v>
      </c>
      <c r="C44" s="9" t="s">
        <v>94</v>
      </c>
      <c r="D44" s="21">
        <v>119</v>
      </c>
    </row>
    <row r="45" spans="1:4" x14ac:dyDescent="0.25">
      <c r="A45" s="41">
        <v>202007</v>
      </c>
      <c r="B45" s="41">
        <v>54</v>
      </c>
      <c r="C45" s="9" t="s">
        <v>142</v>
      </c>
      <c r="D45" s="21">
        <v>0</v>
      </c>
    </row>
    <row r="46" spans="1:4" x14ac:dyDescent="0.25">
      <c r="A46" s="41">
        <v>202007</v>
      </c>
      <c r="B46" s="41">
        <v>47</v>
      </c>
      <c r="C46" s="9" t="s">
        <v>96</v>
      </c>
      <c r="D46" s="21">
        <v>7088</v>
      </c>
    </row>
    <row r="47" spans="1:4" x14ac:dyDescent="0.25">
      <c r="A47" s="41">
        <v>202007</v>
      </c>
      <c r="B47" s="41">
        <v>57</v>
      </c>
      <c r="C47" s="9" t="s">
        <v>112</v>
      </c>
      <c r="D47" s="21">
        <v>185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ACAD6-B524-4A24-9C0E-6F67CFA1BDFF}">
  <sheetPr codeName="Planilha15"/>
  <dimension ref="A1:H287"/>
  <sheetViews>
    <sheetView showGridLines="0" workbookViewId="0">
      <pane ySplit="5" topLeftCell="A6" activePane="bottomLeft" state="frozen"/>
      <selection activeCell="Q30" sqref="Q30"/>
      <selection pane="bottomLeft" activeCell="Q30" sqref="Q30"/>
    </sheetView>
  </sheetViews>
  <sheetFormatPr defaultRowHeight="15" x14ac:dyDescent="0.25"/>
  <cols>
    <col min="1" max="1" width="19" bestFit="1" customWidth="1"/>
    <col min="2" max="2" width="16.140625" bestFit="1" customWidth="1"/>
    <col min="3" max="3" width="18.5703125" bestFit="1" customWidth="1"/>
    <col min="4" max="4" width="30.7109375" bestFit="1" customWidth="1"/>
    <col min="5" max="5" width="36.28515625" bestFit="1" customWidth="1"/>
    <col min="6" max="6" width="14.7109375" bestFit="1" customWidth="1"/>
    <col min="7" max="7" width="14.140625" bestFit="1" customWidth="1"/>
    <col min="8" max="8" width="14.42578125" bestFit="1" customWidth="1"/>
  </cols>
  <sheetData>
    <row r="1" spans="1:8" ht="18.75" x14ac:dyDescent="0.25">
      <c r="A1" s="8" t="s">
        <v>241</v>
      </c>
    </row>
    <row r="5" spans="1:8" x14ac:dyDescent="0.25">
      <c r="A5" t="s">
        <v>104</v>
      </c>
      <c r="B5" t="s">
        <v>105</v>
      </c>
      <c r="C5" t="s">
        <v>106</v>
      </c>
      <c r="D5" t="s">
        <v>110</v>
      </c>
      <c r="E5" t="s">
        <v>170</v>
      </c>
      <c r="F5" t="s">
        <v>174</v>
      </c>
      <c r="G5" t="s">
        <v>156</v>
      </c>
      <c r="H5" t="s">
        <v>234</v>
      </c>
    </row>
    <row r="6" spans="1:8" x14ac:dyDescent="0.25">
      <c r="A6" s="39">
        <v>202007</v>
      </c>
      <c r="B6" s="39">
        <v>45</v>
      </c>
      <c r="C6" s="40" t="s">
        <v>137</v>
      </c>
      <c r="D6" s="40" t="s">
        <v>94</v>
      </c>
      <c r="E6" s="40" t="s">
        <v>126</v>
      </c>
      <c r="F6" s="44" t="b">
        <v>0</v>
      </c>
      <c r="G6" s="44" t="b">
        <v>1</v>
      </c>
      <c r="H6" s="57">
        <v>174620.05</v>
      </c>
    </row>
    <row r="7" spans="1:8" x14ac:dyDescent="0.25">
      <c r="A7" s="39">
        <v>202007</v>
      </c>
      <c r="B7" s="39">
        <v>47</v>
      </c>
      <c r="C7" s="40" t="s">
        <v>111</v>
      </c>
      <c r="D7" s="40" t="s">
        <v>94</v>
      </c>
      <c r="E7" s="40" t="s">
        <v>126</v>
      </c>
      <c r="F7" s="44" t="b">
        <v>0</v>
      </c>
      <c r="G7" s="44" t="b">
        <v>1</v>
      </c>
      <c r="H7" s="57">
        <v>90329.41</v>
      </c>
    </row>
    <row r="8" spans="1:8" x14ac:dyDescent="0.25">
      <c r="A8" s="39">
        <v>202007</v>
      </c>
      <c r="B8" s="39">
        <v>54</v>
      </c>
      <c r="C8" s="40" t="s">
        <v>150</v>
      </c>
      <c r="D8" s="40" t="s">
        <v>94</v>
      </c>
      <c r="E8" s="40" t="s">
        <v>126</v>
      </c>
      <c r="F8" s="44" t="b">
        <v>0</v>
      </c>
      <c r="G8" s="44" t="b">
        <v>1</v>
      </c>
      <c r="H8" s="57">
        <v>119039.77</v>
      </c>
    </row>
    <row r="9" spans="1:8" x14ac:dyDescent="0.25">
      <c r="A9" s="39">
        <v>202007</v>
      </c>
      <c r="B9" s="39">
        <v>56</v>
      </c>
      <c r="C9" s="40" t="s">
        <v>136</v>
      </c>
      <c r="D9" s="40" t="s">
        <v>94</v>
      </c>
      <c r="E9" s="40" t="s">
        <v>126</v>
      </c>
      <c r="F9" s="44" t="b">
        <v>0</v>
      </c>
      <c r="G9" s="44" t="b">
        <v>1</v>
      </c>
      <c r="H9" s="57">
        <v>12209.85</v>
      </c>
    </row>
    <row r="10" spans="1:8" x14ac:dyDescent="0.25">
      <c r="A10" s="39">
        <v>202007</v>
      </c>
      <c r="B10" s="39">
        <v>57</v>
      </c>
      <c r="C10" s="40" t="s">
        <v>146</v>
      </c>
      <c r="D10" s="40" t="s">
        <v>94</v>
      </c>
      <c r="E10" s="40" t="s">
        <v>126</v>
      </c>
      <c r="F10" s="44" t="b">
        <v>0</v>
      </c>
      <c r="G10" s="44" t="b">
        <v>1</v>
      </c>
      <c r="H10" s="57">
        <v>11569.06</v>
      </c>
    </row>
    <row r="11" spans="1:8" x14ac:dyDescent="0.25">
      <c r="A11" s="39">
        <v>202007</v>
      </c>
      <c r="B11" s="39">
        <v>57</v>
      </c>
      <c r="C11" s="40" t="s">
        <v>148</v>
      </c>
      <c r="D11" s="40" t="s">
        <v>94</v>
      </c>
      <c r="E11" s="40" t="s">
        <v>126</v>
      </c>
      <c r="F11" s="44" t="b">
        <v>0</v>
      </c>
      <c r="G11" s="44" t="b">
        <v>1</v>
      </c>
      <c r="H11" s="57">
        <v>7712.71</v>
      </c>
    </row>
    <row r="12" spans="1:8" x14ac:dyDescent="0.25">
      <c r="A12" s="39">
        <v>202007</v>
      </c>
      <c r="B12" s="39">
        <v>60</v>
      </c>
      <c r="C12" s="40" t="s">
        <v>149</v>
      </c>
      <c r="D12" s="40" t="s">
        <v>94</v>
      </c>
      <c r="E12" s="40" t="s">
        <v>126</v>
      </c>
      <c r="F12" s="44" t="b">
        <v>0</v>
      </c>
      <c r="G12" s="44" t="b">
        <v>1</v>
      </c>
      <c r="H12" s="57">
        <v>2090.79</v>
      </c>
    </row>
    <row r="13" spans="1:8" x14ac:dyDescent="0.25">
      <c r="A13" s="39">
        <v>202007</v>
      </c>
      <c r="B13" s="39">
        <v>61</v>
      </c>
      <c r="C13" s="40" t="s">
        <v>235</v>
      </c>
      <c r="D13" s="40" t="s">
        <v>94</v>
      </c>
      <c r="E13" s="40" t="s">
        <v>126</v>
      </c>
      <c r="F13" s="44" t="b">
        <v>0</v>
      </c>
      <c r="G13" s="44" t="b">
        <v>1</v>
      </c>
      <c r="H13" s="57">
        <v>9239.18</v>
      </c>
    </row>
    <row r="14" spans="1:8" x14ac:dyDescent="0.25">
      <c r="A14" s="39">
        <v>202007</v>
      </c>
      <c r="B14" s="39">
        <v>62</v>
      </c>
      <c r="C14" s="40" t="s">
        <v>132</v>
      </c>
      <c r="D14" s="40" t="s">
        <v>94</v>
      </c>
      <c r="E14" s="40" t="s">
        <v>126</v>
      </c>
      <c r="F14" s="44" t="b">
        <v>0</v>
      </c>
      <c r="G14" s="44" t="b">
        <v>1</v>
      </c>
      <c r="H14" s="57">
        <v>219533.42</v>
      </c>
    </row>
    <row r="15" spans="1:8" x14ac:dyDescent="0.25">
      <c r="A15" s="39">
        <v>202007</v>
      </c>
      <c r="B15" s="39">
        <v>64</v>
      </c>
      <c r="C15" s="40" t="s">
        <v>133</v>
      </c>
      <c r="D15" s="40" t="s">
        <v>94</v>
      </c>
      <c r="E15" s="40" t="s">
        <v>126</v>
      </c>
      <c r="F15" s="44" t="b">
        <v>0</v>
      </c>
      <c r="G15" s="44" t="b">
        <v>1</v>
      </c>
      <c r="H15" s="57">
        <v>74920.13</v>
      </c>
    </row>
    <row r="16" spans="1:8" x14ac:dyDescent="0.25">
      <c r="A16" s="39">
        <v>202007</v>
      </c>
      <c r="B16" s="39">
        <v>66</v>
      </c>
      <c r="C16" s="40" t="s">
        <v>43</v>
      </c>
      <c r="D16" s="40" t="s">
        <v>94</v>
      </c>
      <c r="E16" s="40" t="s">
        <v>126</v>
      </c>
      <c r="F16" s="44" t="b">
        <v>0</v>
      </c>
      <c r="G16" s="44" t="b">
        <v>1</v>
      </c>
      <c r="H16" s="57">
        <v>95436.67</v>
      </c>
    </row>
    <row r="17" spans="1:8" x14ac:dyDescent="0.25">
      <c r="A17" s="39">
        <v>202007</v>
      </c>
      <c r="B17" s="39">
        <v>70</v>
      </c>
      <c r="C17" s="40" t="s">
        <v>147</v>
      </c>
      <c r="D17" s="40" t="s">
        <v>94</v>
      </c>
      <c r="E17" s="40" t="s">
        <v>126</v>
      </c>
      <c r="F17" s="44" t="b">
        <v>0</v>
      </c>
      <c r="G17" s="44" t="b">
        <v>1</v>
      </c>
      <c r="H17" s="57">
        <v>169306</v>
      </c>
    </row>
    <row r="18" spans="1:8" x14ac:dyDescent="0.25">
      <c r="A18" s="39">
        <v>202007</v>
      </c>
      <c r="B18" s="39">
        <v>70</v>
      </c>
      <c r="C18" s="40" t="s">
        <v>139</v>
      </c>
      <c r="D18" s="40" t="s">
        <v>94</v>
      </c>
      <c r="E18" s="40" t="s">
        <v>126</v>
      </c>
      <c r="F18" s="44" t="b">
        <v>0</v>
      </c>
      <c r="G18" s="44" t="b">
        <v>1</v>
      </c>
      <c r="H18" s="57">
        <v>606679.82999999996</v>
      </c>
    </row>
    <row r="19" spans="1:8" x14ac:dyDescent="0.25">
      <c r="A19" s="39">
        <v>202007</v>
      </c>
      <c r="B19" s="39">
        <v>70</v>
      </c>
      <c r="C19" s="40" t="s">
        <v>140</v>
      </c>
      <c r="D19" s="40" t="s">
        <v>94</v>
      </c>
      <c r="E19" s="40" t="s">
        <v>126</v>
      </c>
      <c r="F19" s="44" t="b">
        <v>0</v>
      </c>
      <c r="G19" s="44" t="b">
        <v>1</v>
      </c>
      <c r="H19" s="57">
        <v>116397.87</v>
      </c>
    </row>
    <row r="20" spans="1:8" x14ac:dyDescent="0.25">
      <c r="A20" s="39">
        <v>202007</v>
      </c>
      <c r="B20" s="39">
        <v>73</v>
      </c>
      <c r="C20" s="40" t="s">
        <v>135</v>
      </c>
      <c r="D20" s="40" t="s">
        <v>94</v>
      </c>
      <c r="E20" s="40" t="s">
        <v>126</v>
      </c>
      <c r="F20" s="44" t="b">
        <v>0</v>
      </c>
      <c r="G20" s="44" t="b">
        <v>1</v>
      </c>
      <c r="H20" s="57">
        <v>5557.65</v>
      </c>
    </row>
    <row r="21" spans="1:8" x14ac:dyDescent="0.25">
      <c r="A21" s="39">
        <v>202007</v>
      </c>
      <c r="B21" s="39">
        <v>73</v>
      </c>
      <c r="C21" s="40" t="s">
        <v>138</v>
      </c>
      <c r="D21" s="40" t="s">
        <v>94</v>
      </c>
      <c r="E21" s="40" t="s">
        <v>126</v>
      </c>
      <c r="F21" s="44" t="b">
        <v>0</v>
      </c>
      <c r="G21" s="44" t="b">
        <v>1</v>
      </c>
      <c r="H21" s="57">
        <v>22230.6</v>
      </c>
    </row>
    <row r="22" spans="1:8" x14ac:dyDescent="0.25">
      <c r="A22" s="39">
        <v>202007</v>
      </c>
      <c r="B22" s="39">
        <v>73</v>
      </c>
      <c r="C22" s="40" t="s">
        <v>141</v>
      </c>
      <c r="D22" s="40" t="s">
        <v>94</v>
      </c>
      <c r="E22" s="40" t="s">
        <v>126</v>
      </c>
      <c r="F22" s="44" t="b">
        <v>0</v>
      </c>
      <c r="G22" s="44" t="b">
        <v>1</v>
      </c>
      <c r="H22" s="57">
        <v>112899.69</v>
      </c>
    </row>
    <row r="23" spans="1:8" x14ac:dyDescent="0.25">
      <c r="A23" s="39">
        <v>202007</v>
      </c>
      <c r="B23" s="39">
        <v>45</v>
      </c>
      <c r="C23" s="40" t="s">
        <v>137</v>
      </c>
      <c r="D23" s="40" t="s">
        <v>112</v>
      </c>
      <c r="E23" s="40" t="s">
        <v>120</v>
      </c>
      <c r="F23" s="44" t="b">
        <v>0</v>
      </c>
      <c r="G23" s="44" t="b">
        <v>1</v>
      </c>
      <c r="H23" s="57">
        <v>480205.15</v>
      </c>
    </row>
    <row r="24" spans="1:8" x14ac:dyDescent="0.25">
      <c r="A24" s="39">
        <v>202007</v>
      </c>
      <c r="B24" s="39">
        <v>47</v>
      </c>
      <c r="C24" s="40" t="s">
        <v>111</v>
      </c>
      <c r="D24" s="40" t="s">
        <v>112</v>
      </c>
      <c r="E24" s="40" t="s">
        <v>120</v>
      </c>
      <c r="F24" s="44" t="b">
        <v>0</v>
      </c>
      <c r="G24" s="44" t="b">
        <v>1</v>
      </c>
      <c r="H24" s="57">
        <v>180658.81</v>
      </c>
    </row>
    <row r="25" spans="1:8" x14ac:dyDescent="0.25">
      <c r="A25" s="39">
        <v>202007</v>
      </c>
      <c r="B25" s="39">
        <v>56</v>
      </c>
      <c r="C25" s="40" t="s">
        <v>136</v>
      </c>
      <c r="D25" s="40" t="s">
        <v>112</v>
      </c>
      <c r="E25" s="40" t="s">
        <v>120</v>
      </c>
      <c r="F25" s="44" t="b">
        <v>0</v>
      </c>
      <c r="G25" s="44" t="b">
        <v>1</v>
      </c>
      <c r="H25" s="57">
        <v>6104.93</v>
      </c>
    </row>
    <row r="26" spans="1:8" x14ac:dyDescent="0.25">
      <c r="A26" s="39">
        <v>202007</v>
      </c>
      <c r="B26" s="39">
        <v>57</v>
      </c>
      <c r="C26" s="40" t="s">
        <v>146</v>
      </c>
      <c r="D26" s="40" t="s">
        <v>112</v>
      </c>
      <c r="E26" s="40" t="s">
        <v>120</v>
      </c>
      <c r="F26" s="44" t="b">
        <v>0</v>
      </c>
      <c r="G26" s="44" t="b">
        <v>1</v>
      </c>
      <c r="H26" s="57">
        <v>6748.62</v>
      </c>
    </row>
    <row r="27" spans="1:8" x14ac:dyDescent="0.25">
      <c r="A27" s="39">
        <v>202007</v>
      </c>
      <c r="B27" s="39">
        <v>57</v>
      </c>
      <c r="C27" s="40" t="s">
        <v>148</v>
      </c>
      <c r="D27" s="40" t="s">
        <v>112</v>
      </c>
      <c r="E27" s="40" t="s">
        <v>120</v>
      </c>
      <c r="F27" s="44" t="b">
        <v>0</v>
      </c>
      <c r="G27" s="44" t="b">
        <v>1</v>
      </c>
      <c r="H27" s="57">
        <v>4499.08</v>
      </c>
    </row>
    <row r="28" spans="1:8" x14ac:dyDescent="0.25">
      <c r="A28" s="39">
        <v>202007</v>
      </c>
      <c r="B28" s="39">
        <v>60</v>
      </c>
      <c r="C28" s="40" t="s">
        <v>149</v>
      </c>
      <c r="D28" s="40" t="s">
        <v>112</v>
      </c>
      <c r="E28" s="40" t="s">
        <v>120</v>
      </c>
      <c r="F28" s="44" t="b">
        <v>0</v>
      </c>
      <c r="G28" s="44" t="b">
        <v>1</v>
      </c>
      <c r="H28" s="57">
        <v>2718.03</v>
      </c>
    </row>
    <row r="29" spans="1:8" x14ac:dyDescent="0.25">
      <c r="A29" s="39">
        <v>202007</v>
      </c>
      <c r="B29" s="39">
        <v>61</v>
      </c>
      <c r="C29" s="40" t="s">
        <v>235</v>
      </c>
      <c r="D29" s="40" t="s">
        <v>112</v>
      </c>
      <c r="E29" s="40" t="s">
        <v>120</v>
      </c>
      <c r="F29" s="44" t="b">
        <v>0</v>
      </c>
      <c r="G29" s="44" t="b">
        <v>1</v>
      </c>
      <c r="H29" s="57">
        <v>9239.18</v>
      </c>
    </row>
    <row r="30" spans="1:8" x14ac:dyDescent="0.25">
      <c r="A30" s="39">
        <v>202007</v>
      </c>
      <c r="B30" s="39">
        <v>62</v>
      </c>
      <c r="C30" s="40" t="s">
        <v>132</v>
      </c>
      <c r="D30" s="40" t="s">
        <v>112</v>
      </c>
      <c r="E30" s="40" t="s">
        <v>120</v>
      </c>
      <c r="F30" s="44" t="b">
        <v>0</v>
      </c>
      <c r="G30" s="44" t="b">
        <v>1</v>
      </c>
      <c r="H30" s="57">
        <v>395160.15</v>
      </c>
    </row>
    <row r="31" spans="1:8" x14ac:dyDescent="0.25">
      <c r="A31" s="39">
        <v>202007</v>
      </c>
      <c r="B31" s="39">
        <v>64</v>
      </c>
      <c r="C31" s="40" t="s">
        <v>133</v>
      </c>
      <c r="D31" s="40" t="s">
        <v>112</v>
      </c>
      <c r="E31" s="40" t="s">
        <v>120</v>
      </c>
      <c r="F31" s="44" t="b">
        <v>0</v>
      </c>
      <c r="G31" s="44" t="b">
        <v>1</v>
      </c>
      <c r="H31" s="57">
        <v>284696.51</v>
      </c>
    </row>
    <row r="32" spans="1:8" x14ac:dyDescent="0.25">
      <c r="A32" s="39">
        <v>202007</v>
      </c>
      <c r="B32" s="39">
        <v>66</v>
      </c>
      <c r="C32" s="40" t="s">
        <v>43</v>
      </c>
      <c r="D32" s="40" t="s">
        <v>112</v>
      </c>
      <c r="E32" s="40" t="s">
        <v>120</v>
      </c>
      <c r="F32" s="44" t="b">
        <v>0</v>
      </c>
      <c r="G32" s="44" t="b">
        <v>1</v>
      </c>
      <c r="H32" s="57">
        <v>19087.330000000002</v>
      </c>
    </row>
    <row r="33" spans="1:8" x14ac:dyDescent="0.25">
      <c r="A33" s="39">
        <v>202007</v>
      </c>
      <c r="B33" s="39">
        <v>70</v>
      </c>
      <c r="C33" s="40" t="s">
        <v>147</v>
      </c>
      <c r="D33" s="40" t="s">
        <v>112</v>
      </c>
      <c r="E33" s="40" t="s">
        <v>120</v>
      </c>
      <c r="F33" s="44" t="b">
        <v>0</v>
      </c>
      <c r="G33" s="44" t="b">
        <v>1</v>
      </c>
      <c r="H33" s="57">
        <v>10581.62</v>
      </c>
    </row>
    <row r="34" spans="1:8" x14ac:dyDescent="0.25">
      <c r="A34" s="39">
        <v>202007</v>
      </c>
      <c r="B34" s="39">
        <v>70</v>
      </c>
      <c r="C34" s="40" t="s">
        <v>139</v>
      </c>
      <c r="D34" s="40" t="s">
        <v>112</v>
      </c>
      <c r="E34" s="40" t="s">
        <v>120</v>
      </c>
      <c r="F34" s="44" t="b">
        <v>0</v>
      </c>
      <c r="G34" s="44" t="b">
        <v>1</v>
      </c>
      <c r="H34" s="57">
        <v>505566.52</v>
      </c>
    </row>
    <row r="35" spans="1:8" x14ac:dyDescent="0.25">
      <c r="A35" s="39">
        <v>202007</v>
      </c>
      <c r="B35" s="39">
        <v>70</v>
      </c>
      <c r="C35" s="40" t="s">
        <v>140</v>
      </c>
      <c r="D35" s="40" t="s">
        <v>112</v>
      </c>
      <c r="E35" s="40" t="s">
        <v>120</v>
      </c>
      <c r="F35" s="44" t="b">
        <v>0</v>
      </c>
      <c r="G35" s="44" t="b">
        <v>1</v>
      </c>
      <c r="H35" s="57">
        <v>25866.19</v>
      </c>
    </row>
    <row r="36" spans="1:8" x14ac:dyDescent="0.25">
      <c r="A36" s="39">
        <v>202007</v>
      </c>
      <c r="B36" s="39">
        <v>73</v>
      </c>
      <c r="C36" s="40" t="s">
        <v>135</v>
      </c>
      <c r="D36" s="40" t="s">
        <v>112</v>
      </c>
      <c r="E36" s="40" t="s">
        <v>120</v>
      </c>
      <c r="F36" s="44" t="b">
        <v>0</v>
      </c>
      <c r="G36" s="44" t="b">
        <v>1</v>
      </c>
      <c r="H36" s="57">
        <v>28899.78</v>
      </c>
    </row>
    <row r="37" spans="1:8" x14ac:dyDescent="0.25">
      <c r="A37" s="39">
        <v>202007</v>
      </c>
      <c r="B37" s="39">
        <v>73</v>
      </c>
      <c r="C37" s="40" t="s">
        <v>138</v>
      </c>
      <c r="D37" s="40" t="s">
        <v>112</v>
      </c>
      <c r="E37" s="40" t="s">
        <v>120</v>
      </c>
      <c r="F37" s="44" t="b">
        <v>0</v>
      </c>
      <c r="G37" s="44" t="b">
        <v>1</v>
      </c>
      <c r="H37" s="57">
        <v>35568.959999999999</v>
      </c>
    </row>
    <row r="38" spans="1:8" x14ac:dyDescent="0.25">
      <c r="A38" s="39">
        <v>202007</v>
      </c>
      <c r="B38" s="39">
        <v>73</v>
      </c>
      <c r="C38" s="40" t="s">
        <v>141</v>
      </c>
      <c r="D38" s="40" t="s">
        <v>112</v>
      </c>
      <c r="E38" s="40" t="s">
        <v>120</v>
      </c>
      <c r="F38" s="44" t="b">
        <v>0</v>
      </c>
      <c r="G38" s="44" t="b">
        <v>1</v>
      </c>
      <c r="H38" s="57">
        <v>213254.97</v>
      </c>
    </row>
    <row r="39" spans="1:8" x14ac:dyDescent="0.25">
      <c r="A39" s="39">
        <v>202007</v>
      </c>
      <c r="B39" s="39">
        <v>45</v>
      </c>
      <c r="C39" s="40" t="s">
        <v>137</v>
      </c>
      <c r="D39" s="40" t="s">
        <v>112</v>
      </c>
      <c r="E39" s="40" t="s">
        <v>115</v>
      </c>
      <c r="F39" s="44" t="b">
        <v>0</v>
      </c>
      <c r="G39" s="44" t="b">
        <v>1</v>
      </c>
      <c r="H39" s="57">
        <v>834751.66</v>
      </c>
    </row>
    <row r="40" spans="1:8" x14ac:dyDescent="0.25">
      <c r="A40" s="39">
        <v>202007</v>
      </c>
      <c r="B40" s="39">
        <v>47</v>
      </c>
      <c r="C40" s="40" t="s">
        <v>111</v>
      </c>
      <c r="D40" s="40" t="s">
        <v>112</v>
      </c>
      <c r="E40" s="40" t="s">
        <v>115</v>
      </c>
      <c r="F40" s="44" t="b">
        <v>0</v>
      </c>
      <c r="G40" s="44" t="b">
        <v>1</v>
      </c>
      <c r="H40" s="57">
        <v>270988.21999999997</v>
      </c>
    </row>
    <row r="41" spans="1:8" x14ac:dyDescent="0.25">
      <c r="A41" s="39">
        <v>202007</v>
      </c>
      <c r="B41" s="39">
        <v>56</v>
      </c>
      <c r="C41" s="40" t="s">
        <v>136</v>
      </c>
      <c r="D41" s="40" t="s">
        <v>112</v>
      </c>
      <c r="E41" s="40" t="s">
        <v>115</v>
      </c>
      <c r="F41" s="44" t="b">
        <v>0</v>
      </c>
      <c r="G41" s="44" t="b">
        <v>1</v>
      </c>
      <c r="H41" s="57">
        <v>4360.66</v>
      </c>
    </row>
    <row r="42" spans="1:8" x14ac:dyDescent="0.25">
      <c r="A42" s="39">
        <v>202007</v>
      </c>
      <c r="B42" s="39">
        <v>57</v>
      </c>
      <c r="C42" s="40" t="s">
        <v>146</v>
      </c>
      <c r="D42" s="40" t="s">
        <v>112</v>
      </c>
      <c r="E42" s="40" t="s">
        <v>115</v>
      </c>
      <c r="F42" s="44" t="b">
        <v>0</v>
      </c>
      <c r="G42" s="44" t="b">
        <v>1</v>
      </c>
      <c r="H42" s="57">
        <v>14461.33</v>
      </c>
    </row>
    <row r="43" spans="1:8" x14ac:dyDescent="0.25">
      <c r="A43" s="39">
        <v>202007</v>
      </c>
      <c r="B43" s="39">
        <v>57</v>
      </c>
      <c r="C43" s="40" t="s">
        <v>148</v>
      </c>
      <c r="D43" s="40" t="s">
        <v>112</v>
      </c>
      <c r="E43" s="40" t="s">
        <v>115</v>
      </c>
      <c r="F43" s="44" t="b">
        <v>0</v>
      </c>
      <c r="G43" s="44" t="b">
        <v>1</v>
      </c>
      <c r="H43" s="57">
        <v>9640.89</v>
      </c>
    </row>
    <row r="44" spans="1:8" x14ac:dyDescent="0.25">
      <c r="A44" s="39">
        <v>202007</v>
      </c>
      <c r="B44" s="39">
        <v>60</v>
      </c>
      <c r="C44" s="40" t="s">
        <v>149</v>
      </c>
      <c r="D44" s="40" t="s">
        <v>112</v>
      </c>
      <c r="E44" s="40" t="s">
        <v>115</v>
      </c>
      <c r="F44" s="44" t="b">
        <v>0</v>
      </c>
      <c r="G44" s="44" t="b">
        <v>1</v>
      </c>
      <c r="H44" s="57">
        <v>3972.51</v>
      </c>
    </row>
    <row r="45" spans="1:8" x14ac:dyDescent="0.25">
      <c r="A45" s="39">
        <v>202007</v>
      </c>
      <c r="B45" s="39">
        <v>61</v>
      </c>
      <c r="C45" s="40" t="s">
        <v>235</v>
      </c>
      <c r="D45" s="40" t="s">
        <v>112</v>
      </c>
      <c r="E45" s="40" t="s">
        <v>115</v>
      </c>
      <c r="F45" s="44" t="b">
        <v>0</v>
      </c>
      <c r="G45" s="44" t="b">
        <v>1</v>
      </c>
      <c r="H45" s="57">
        <v>11087.02</v>
      </c>
    </row>
    <row r="46" spans="1:8" x14ac:dyDescent="0.25">
      <c r="A46" s="39">
        <v>202007</v>
      </c>
      <c r="B46" s="39">
        <v>62</v>
      </c>
      <c r="C46" s="40" t="s">
        <v>132</v>
      </c>
      <c r="D46" s="40" t="s">
        <v>112</v>
      </c>
      <c r="E46" s="40" t="s">
        <v>115</v>
      </c>
      <c r="F46" s="44" t="b">
        <v>0</v>
      </c>
      <c r="G46" s="44" t="b">
        <v>1</v>
      </c>
      <c r="H46" s="57">
        <v>219533.42</v>
      </c>
    </row>
    <row r="47" spans="1:8" x14ac:dyDescent="0.25">
      <c r="A47" s="39">
        <v>202007</v>
      </c>
      <c r="B47" s="39">
        <v>64</v>
      </c>
      <c r="C47" s="40" t="s">
        <v>133</v>
      </c>
      <c r="D47" s="40" t="s">
        <v>112</v>
      </c>
      <c r="E47" s="40" t="s">
        <v>115</v>
      </c>
      <c r="F47" s="44" t="b">
        <v>0</v>
      </c>
      <c r="G47" s="44" t="b">
        <v>1</v>
      </c>
      <c r="H47" s="57">
        <v>104888.19</v>
      </c>
    </row>
    <row r="48" spans="1:8" x14ac:dyDescent="0.25">
      <c r="A48" s="39">
        <v>202007</v>
      </c>
      <c r="B48" s="39">
        <v>66</v>
      </c>
      <c r="C48" s="40" t="s">
        <v>43</v>
      </c>
      <c r="D48" s="40" t="s">
        <v>112</v>
      </c>
      <c r="E48" s="40" t="s">
        <v>115</v>
      </c>
      <c r="F48" s="44" t="b">
        <v>0</v>
      </c>
      <c r="G48" s="44" t="b">
        <v>1</v>
      </c>
      <c r="H48" s="57">
        <v>19087.330000000002</v>
      </c>
    </row>
    <row r="49" spans="1:8" x14ac:dyDescent="0.25">
      <c r="A49" s="39">
        <v>202007</v>
      </c>
      <c r="B49" s="39">
        <v>70</v>
      </c>
      <c r="C49" s="40" t="s">
        <v>147</v>
      </c>
      <c r="D49" s="40" t="s">
        <v>112</v>
      </c>
      <c r="E49" s="40" t="s">
        <v>115</v>
      </c>
      <c r="F49" s="44" t="b">
        <v>0</v>
      </c>
      <c r="G49" s="44" t="b">
        <v>1</v>
      </c>
      <c r="H49" s="57">
        <v>28217.67</v>
      </c>
    </row>
    <row r="50" spans="1:8" x14ac:dyDescent="0.25">
      <c r="A50" s="39">
        <v>202007</v>
      </c>
      <c r="B50" s="39">
        <v>70</v>
      </c>
      <c r="C50" s="40" t="s">
        <v>139</v>
      </c>
      <c r="D50" s="40" t="s">
        <v>112</v>
      </c>
      <c r="E50" s="40" t="s">
        <v>115</v>
      </c>
      <c r="F50" s="44" t="b">
        <v>0</v>
      </c>
      <c r="G50" s="44" t="b">
        <v>1</v>
      </c>
      <c r="H50" s="57">
        <v>1617812.87</v>
      </c>
    </row>
    <row r="51" spans="1:8" x14ac:dyDescent="0.25">
      <c r="A51" s="39">
        <v>202007</v>
      </c>
      <c r="B51" s="39">
        <v>70</v>
      </c>
      <c r="C51" s="40" t="s">
        <v>140</v>
      </c>
      <c r="D51" s="40" t="s">
        <v>112</v>
      </c>
      <c r="E51" s="40" t="s">
        <v>115</v>
      </c>
      <c r="F51" s="44" t="b">
        <v>0</v>
      </c>
      <c r="G51" s="44" t="b">
        <v>1</v>
      </c>
      <c r="H51" s="57">
        <v>116397.87</v>
      </c>
    </row>
    <row r="52" spans="1:8" x14ac:dyDescent="0.25">
      <c r="A52" s="39">
        <v>202007</v>
      </c>
      <c r="B52" s="39">
        <v>73</v>
      </c>
      <c r="C52" s="40" t="s">
        <v>135</v>
      </c>
      <c r="D52" s="40" t="s">
        <v>112</v>
      </c>
      <c r="E52" s="40" t="s">
        <v>115</v>
      </c>
      <c r="F52" s="44" t="b">
        <v>0</v>
      </c>
      <c r="G52" s="44" t="b">
        <v>1</v>
      </c>
      <c r="H52" s="57">
        <v>15561.42</v>
      </c>
    </row>
    <row r="53" spans="1:8" x14ac:dyDescent="0.25">
      <c r="A53" s="39">
        <v>202007</v>
      </c>
      <c r="B53" s="39">
        <v>73</v>
      </c>
      <c r="C53" s="40" t="s">
        <v>138</v>
      </c>
      <c r="D53" s="40" t="s">
        <v>112</v>
      </c>
      <c r="E53" s="40" t="s">
        <v>115</v>
      </c>
      <c r="F53" s="44" t="b">
        <v>0</v>
      </c>
      <c r="G53" s="44" t="b">
        <v>1</v>
      </c>
      <c r="H53" s="57">
        <v>24453.66</v>
      </c>
    </row>
    <row r="54" spans="1:8" x14ac:dyDescent="0.25">
      <c r="A54" s="39">
        <v>202007</v>
      </c>
      <c r="B54" s="39">
        <v>73</v>
      </c>
      <c r="C54" s="40" t="s">
        <v>141</v>
      </c>
      <c r="D54" s="40" t="s">
        <v>112</v>
      </c>
      <c r="E54" s="40" t="s">
        <v>115</v>
      </c>
      <c r="F54" s="44" t="b">
        <v>0</v>
      </c>
      <c r="G54" s="44" t="b">
        <v>1</v>
      </c>
      <c r="H54" s="57">
        <v>87810.87</v>
      </c>
    </row>
    <row r="55" spans="1:8" x14ac:dyDescent="0.25">
      <c r="A55" s="39">
        <v>202007</v>
      </c>
      <c r="B55" s="39">
        <v>56</v>
      </c>
      <c r="C55" s="40" t="s">
        <v>136</v>
      </c>
      <c r="D55" s="40" t="s">
        <v>112</v>
      </c>
      <c r="E55" s="40" t="s">
        <v>98</v>
      </c>
      <c r="F55" s="44" t="b">
        <v>0</v>
      </c>
      <c r="G55" s="44" t="b">
        <v>1</v>
      </c>
      <c r="H55" s="57">
        <v>872.13</v>
      </c>
    </row>
    <row r="56" spans="1:8" x14ac:dyDescent="0.25">
      <c r="A56" s="39">
        <v>202007</v>
      </c>
      <c r="B56" s="39">
        <v>61</v>
      </c>
      <c r="C56" s="40" t="s">
        <v>235</v>
      </c>
      <c r="D56" s="40" t="s">
        <v>112</v>
      </c>
      <c r="E56" s="40" t="s">
        <v>98</v>
      </c>
      <c r="F56" s="44" t="b">
        <v>0</v>
      </c>
      <c r="G56" s="44" t="b">
        <v>1</v>
      </c>
      <c r="H56" s="57">
        <v>11087.02</v>
      </c>
    </row>
    <row r="57" spans="1:8" x14ac:dyDescent="0.25">
      <c r="A57" s="39">
        <v>202007</v>
      </c>
      <c r="B57" s="39">
        <v>66</v>
      </c>
      <c r="C57" s="40" t="s">
        <v>43</v>
      </c>
      <c r="D57" s="40" t="s">
        <v>112</v>
      </c>
      <c r="E57" s="40" t="s">
        <v>98</v>
      </c>
      <c r="F57" s="44" t="b">
        <v>0</v>
      </c>
      <c r="G57" s="44" t="b">
        <v>1</v>
      </c>
      <c r="H57" s="57">
        <v>9543.67</v>
      </c>
    </row>
    <row r="58" spans="1:8" x14ac:dyDescent="0.25">
      <c r="A58" s="39">
        <v>202007</v>
      </c>
      <c r="B58" s="39">
        <v>70</v>
      </c>
      <c r="C58" s="40" t="s">
        <v>147</v>
      </c>
      <c r="D58" s="40" t="s">
        <v>112</v>
      </c>
      <c r="E58" s="40" t="s">
        <v>98</v>
      </c>
      <c r="F58" s="44" t="b">
        <v>0</v>
      </c>
      <c r="G58" s="44" t="b">
        <v>1</v>
      </c>
      <c r="H58" s="57">
        <v>3527.21</v>
      </c>
    </row>
    <row r="59" spans="1:8" x14ac:dyDescent="0.25">
      <c r="A59" s="39">
        <v>202007</v>
      </c>
      <c r="B59" s="39">
        <v>70</v>
      </c>
      <c r="C59" s="40" t="s">
        <v>139</v>
      </c>
      <c r="D59" s="40" t="s">
        <v>112</v>
      </c>
      <c r="E59" s="40" t="s">
        <v>98</v>
      </c>
      <c r="F59" s="44" t="b">
        <v>0</v>
      </c>
      <c r="G59" s="44" t="b">
        <v>1</v>
      </c>
      <c r="H59" s="57">
        <v>404453.22</v>
      </c>
    </row>
    <row r="60" spans="1:8" x14ac:dyDescent="0.25">
      <c r="A60" s="39">
        <v>202007</v>
      </c>
      <c r="B60" s="39">
        <v>70</v>
      </c>
      <c r="C60" s="40" t="s">
        <v>140</v>
      </c>
      <c r="D60" s="40" t="s">
        <v>112</v>
      </c>
      <c r="E60" s="40" t="s">
        <v>98</v>
      </c>
      <c r="F60" s="44" t="b">
        <v>0</v>
      </c>
      <c r="G60" s="44" t="b">
        <v>1</v>
      </c>
      <c r="H60" s="57">
        <v>38799.29</v>
      </c>
    </row>
    <row r="61" spans="1:8" x14ac:dyDescent="0.25">
      <c r="A61" s="39">
        <v>202007</v>
      </c>
      <c r="B61" s="39">
        <v>73</v>
      </c>
      <c r="C61" s="40" t="s">
        <v>135</v>
      </c>
      <c r="D61" s="40" t="s">
        <v>112</v>
      </c>
      <c r="E61" s="40" t="s">
        <v>98</v>
      </c>
      <c r="F61" s="44" t="b">
        <v>0</v>
      </c>
      <c r="G61" s="44" t="b">
        <v>1</v>
      </c>
      <c r="H61" s="57">
        <v>1111.53</v>
      </c>
    </row>
    <row r="62" spans="1:8" x14ac:dyDescent="0.25">
      <c r="A62" s="39">
        <v>202007</v>
      </c>
      <c r="B62" s="39">
        <v>73</v>
      </c>
      <c r="C62" s="40" t="s">
        <v>138</v>
      </c>
      <c r="D62" s="40" t="s">
        <v>112</v>
      </c>
      <c r="E62" s="40" t="s">
        <v>98</v>
      </c>
      <c r="F62" s="44" t="b">
        <v>0</v>
      </c>
      <c r="G62" s="44" t="b">
        <v>1</v>
      </c>
      <c r="H62" s="57">
        <v>24453.66</v>
      </c>
    </row>
    <row r="63" spans="1:8" x14ac:dyDescent="0.25">
      <c r="A63" s="39">
        <v>202007</v>
      </c>
      <c r="B63" s="39">
        <v>73</v>
      </c>
      <c r="C63" s="40" t="s">
        <v>141</v>
      </c>
      <c r="D63" s="40" t="s">
        <v>112</v>
      </c>
      <c r="E63" s="40" t="s">
        <v>98</v>
      </c>
      <c r="F63" s="44" t="b">
        <v>0</v>
      </c>
      <c r="G63" s="44" t="b">
        <v>1</v>
      </c>
      <c r="H63" s="57">
        <v>150532.92000000001</v>
      </c>
    </row>
    <row r="64" spans="1:8" x14ac:dyDescent="0.25">
      <c r="A64" s="39">
        <v>202007</v>
      </c>
      <c r="B64" s="39">
        <v>56</v>
      </c>
      <c r="C64" s="40" t="s">
        <v>136</v>
      </c>
      <c r="D64" s="40" t="s">
        <v>112</v>
      </c>
      <c r="E64" s="40" t="s">
        <v>99</v>
      </c>
      <c r="F64" s="44" t="b">
        <v>0</v>
      </c>
      <c r="G64" s="44" t="b">
        <v>1</v>
      </c>
      <c r="H64" s="57">
        <v>5232.79</v>
      </c>
    </row>
    <row r="65" spans="1:8" x14ac:dyDescent="0.25">
      <c r="A65" s="39">
        <v>202007</v>
      </c>
      <c r="B65" s="39">
        <v>60</v>
      </c>
      <c r="C65" s="40" t="s">
        <v>149</v>
      </c>
      <c r="D65" s="40" t="s">
        <v>112</v>
      </c>
      <c r="E65" s="40" t="s">
        <v>99</v>
      </c>
      <c r="F65" s="44" t="b">
        <v>0</v>
      </c>
      <c r="G65" s="44" t="b">
        <v>1</v>
      </c>
      <c r="H65" s="57">
        <v>418.16</v>
      </c>
    </row>
    <row r="66" spans="1:8" x14ac:dyDescent="0.25">
      <c r="A66" s="39">
        <v>202007</v>
      </c>
      <c r="B66" s="39">
        <v>66</v>
      </c>
      <c r="C66" s="40" t="s">
        <v>43</v>
      </c>
      <c r="D66" s="40" t="s">
        <v>112</v>
      </c>
      <c r="E66" s="40" t="s">
        <v>99</v>
      </c>
      <c r="F66" s="44" t="b">
        <v>0</v>
      </c>
      <c r="G66" s="44" t="b">
        <v>1</v>
      </c>
      <c r="H66" s="57">
        <v>9543.67</v>
      </c>
    </row>
    <row r="67" spans="1:8" x14ac:dyDescent="0.25">
      <c r="A67" s="39">
        <v>202007</v>
      </c>
      <c r="B67" s="39">
        <v>70</v>
      </c>
      <c r="C67" s="40" t="s">
        <v>147</v>
      </c>
      <c r="D67" s="40" t="s">
        <v>112</v>
      </c>
      <c r="E67" s="40" t="s">
        <v>99</v>
      </c>
      <c r="F67" s="44" t="b">
        <v>0</v>
      </c>
      <c r="G67" s="44" t="b">
        <v>1</v>
      </c>
      <c r="H67" s="57">
        <v>3527.21</v>
      </c>
    </row>
    <row r="68" spans="1:8" x14ac:dyDescent="0.25">
      <c r="A68" s="39">
        <v>202007</v>
      </c>
      <c r="B68" s="39">
        <v>70</v>
      </c>
      <c r="C68" s="40" t="s">
        <v>139</v>
      </c>
      <c r="D68" s="40" t="s">
        <v>112</v>
      </c>
      <c r="E68" s="40" t="s">
        <v>99</v>
      </c>
      <c r="F68" s="44" t="b">
        <v>0</v>
      </c>
      <c r="G68" s="44" t="b">
        <v>1</v>
      </c>
      <c r="H68" s="57">
        <v>101113.3</v>
      </c>
    </row>
    <row r="69" spans="1:8" x14ac:dyDescent="0.25">
      <c r="A69" s="39">
        <v>202007</v>
      </c>
      <c r="B69" s="39">
        <v>70</v>
      </c>
      <c r="C69" s="40" t="s">
        <v>140</v>
      </c>
      <c r="D69" s="40" t="s">
        <v>112</v>
      </c>
      <c r="E69" s="40" t="s">
        <v>99</v>
      </c>
      <c r="F69" s="44" t="b">
        <v>0</v>
      </c>
      <c r="G69" s="44" t="b">
        <v>1</v>
      </c>
      <c r="H69" s="57">
        <v>12933.1</v>
      </c>
    </row>
    <row r="70" spans="1:8" x14ac:dyDescent="0.25">
      <c r="A70" s="39">
        <v>202007</v>
      </c>
      <c r="B70" s="39">
        <v>73</v>
      </c>
      <c r="C70" s="40" t="s">
        <v>135</v>
      </c>
      <c r="D70" s="40" t="s">
        <v>112</v>
      </c>
      <c r="E70" s="40" t="s">
        <v>99</v>
      </c>
      <c r="F70" s="44" t="b">
        <v>0</v>
      </c>
      <c r="G70" s="44" t="b">
        <v>1</v>
      </c>
      <c r="H70" s="57">
        <v>1111.53</v>
      </c>
    </row>
    <row r="71" spans="1:8" x14ac:dyDescent="0.25">
      <c r="A71" s="39">
        <v>202007</v>
      </c>
      <c r="B71" s="39">
        <v>73</v>
      </c>
      <c r="C71" s="40" t="s">
        <v>138</v>
      </c>
      <c r="D71" s="40" t="s">
        <v>112</v>
      </c>
      <c r="E71" s="40" t="s">
        <v>99</v>
      </c>
      <c r="F71" s="44" t="b">
        <v>0</v>
      </c>
      <c r="G71" s="44" t="b">
        <v>1</v>
      </c>
      <c r="H71" s="57">
        <v>2223.06</v>
      </c>
    </row>
    <row r="72" spans="1:8" x14ac:dyDescent="0.25">
      <c r="A72" s="39">
        <v>202007</v>
      </c>
      <c r="B72" s="39">
        <v>73</v>
      </c>
      <c r="C72" s="40" t="s">
        <v>141</v>
      </c>
      <c r="D72" s="40" t="s">
        <v>112</v>
      </c>
      <c r="E72" s="40" t="s">
        <v>99</v>
      </c>
      <c r="F72" s="44" t="b">
        <v>0</v>
      </c>
      <c r="G72" s="44" t="b">
        <v>1</v>
      </c>
      <c r="H72" s="57">
        <v>12544.41</v>
      </c>
    </row>
    <row r="73" spans="1:8" x14ac:dyDescent="0.25">
      <c r="A73" s="39">
        <v>202007</v>
      </c>
      <c r="B73" s="39">
        <v>60</v>
      </c>
      <c r="C73" s="40" t="s">
        <v>149</v>
      </c>
      <c r="D73" s="40" t="s">
        <v>94</v>
      </c>
      <c r="E73" s="40" t="s">
        <v>100</v>
      </c>
      <c r="F73" s="44" t="b">
        <v>0</v>
      </c>
      <c r="G73" s="44" t="b">
        <v>1</v>
      </c>
      <c r="H73" s="57">
        <v>418.16</v>
      </c>
    </row>
    <row r="74" spans="1:8" x14ac:dyDescent="0.25">
      <c r="A74" s="39">
        <v>202007</v>
      </c>
      <c r="B74" s="39">
        <v>61</v>
      </c>
      <c r="C74" s="40" t="s">
        <v>235</v>
      </c>
      <c r="D74" s="40" t="s">
        <v>94</v>
      </c>
      <c r="E74" s="40" t="s">
        <v>100</v>
      </c>
      <c r="F74" s="44" t="b">
        <v>0</v>
      </c>
      <c r="G74" s="44" t="b">
        <v>1</v>
      </c>
      <c r="H74" s="57">
        <v>11087.02</v>
      </c>
    </row>
    <row r="75" spans="1:8" x14ac:dyDescent="0.25">
      <c r="A75" s="39">
        <v>202007</v>
      </c>
      <c r="B75" s="39">
        <v>66</v>
      </c>
      <c r="C75" s="40" t="s">
        <v>43</v>
      </c>
      <c r="D75" s="40" t="s">
        <v>94</v>
      </c>
      <c r="E75" s="40" t="s">
        <v>100</v>
      </c>
      <c r="F75" s="44" t="b">
        <v>0</v>
      </c>
      <c r="G75" s="44" t="b">
        <v>1</v>
      </c>
      <c r="H75" s="57">
        <v>14315.5</v>
      </c>
    </row>
    <row r="76" spans="1:8" x14ac:dyDescent="0.25">
      <c r="A76" s="39">
        <v>202007</v>
      </c>
      <c r="B76" s="39">
        <v>70</v>
      </c>
      <c r="C76" s="40" t="s">
        <v>147</v>
      </c>
      <c r="D76" s="40" t="s">
        <v>94</v>
      </c>
      <c r="E76" s="40" t="s">
        <v>100</v>
      </c>
      <c r="F76" s="44" t="b">
        <v>0</v>
      </c>
      <c r="G76" s="44" t="b">
        <v>1</v>
      </c>
      <c r="H76" s="57">
        <v>7054.42</v>
      </c>
    </row>
    <row r="77" spans="1:8" x14ac:dyDescent="0.25">
      <c r="A77" s="39">
        <v>202007</v>
      </c>
      <c r="B77" s="39">
        <v>70</v>
      </c>
      <c r="C77" s="40" t="s">
        <v>139</v>
      </c>
      <c r="D77" s="40" t="s">
        <v>94</v>
      </c>
      <c r="E77" s="40" t="s">
        <v>100</v>
      </c>
      <c r="F77" s="44" t="b">
        <v>0</v>
      </c>
      <c r="G77" s="44" t="b">
        <v>1</v>
      </c>
      <c r="H77" s="57">
        <v>202226.61</v>
      </c>
    </row>
    <row r="78" spans="1:8" x14ac:dyDescent="0.25">
      <c r="A78" s="39">
        <v>202007</v>
      </c>
      <c r="B78" s="39">
        <v>70</v>
      </c>
      <c r="C78" s="40" t="s">
        <v>140</v>
      </c>
      <c r="D78" s="40" t="s">
        <v>94</v>
      </c>
      <c r="E78" s="40" t="s">
        <v>100</v>
      </c>
      <c r="F78" s="44" t="b">
        <v>0</v>
      </c>
      <c r="G78" s="44" t="b">
        <v>1</v>
      </c>
      <c r="H78" s="57">
        <v>38799.29</v>
      </c>
    </row>
    <row r="79" spans="1:8" x14ac:dyDescent="0.25">
      <c r="A79" s="39">
        <v>202007</v>
      </c>
      <c r="B79" s="39">
        <v>73</v>
      </c>
      <c r="C79" s="40" t="s">
        <v>135</v>
      </c>
      <c r="D79" s="40" t="s">
        <v>94</v>
      </c>
      <c r="E79" s="40" t="s">
        <v>100</v>
      </c>
      <c r="F79" s="44" t="b">
        <v>0</v>
      </c>
      <c r="G79" s="44" t="b">
        <v>1</v>
      </c>
      <c r="H79" s="57">
        <v>5557.65</v>
      </c>
    </row>
    <row r="80" spans="1:8" x14ac:dyDescent="0.25">
      <c r="A80" s="39">
        <v>202007</v>
      </c>
      <c r="B80" s="39">
        <v>73</v>
      </c>
      <c r="C80" s="40" t="s">
        <v>138</v>
      </c>
      <c r="D80" s="40" t="s">
        <v>94</v>
      </c>
      <c r="E80" s="40" t="s">
        <v>100</v>
      </c>
      <c r="F80" s="44" t="b">
        <v>0</v>
      </c>
      <c r="G80" s="44" t="b">
        <v>1</v>
      </c>
      <c r="H80" s="57">
        <v>35568.959999999999</v>
      </c>
    </row>
    <row r="81" spans="1:8" x14ac:dyDescent="0.25">
      <c r="A81" s="39">
        <v>202007</v>
      </c>
      <c r="B81" s="39">
        <v>73</v>
      </c>
      <c r="C81" s="40" t="s">
        <v>141</v>
      </c>
      <c r="D81" s="40" t="s">
        <v>94</v>
      </c>
      <c r="E81" s="40" t="s">
        <v>100</v>
      </c>
      <c r="F81" s="44" t="b">
        <v>0</v>
      </c>
      <c r="G81" s="44" t="b">
        <v>1</v>
      </c>
      <c r="H81" s="57">
        <v>125444.1</v>
      </c>
    </row>
    <row r="82" spans="1:8" x14ac:dyDescent="0.25">
      <c r="A82" s="39">
        <v>202007</v>
      </c>
      <c r="B82" s="39">
        <v>45</v>
      </c>
      <c r="C82" s="40" t="s">
        <v>137</v>
      </c>
      <c r="D82" s="40" t="s">
        <v>94</v>
      </c>
      <c r="E82" s="40" t="s">
        <v>128</v>
      </c>
      <c r="F82" s="44" t="b">
        <v>0</v>
      </c>
      <c r="G82" s="44" t="b">
        <v>1</v>
      </c>
      <c r="H82" s="57">
        <v>305585.09999999998</v>
      </c>
    </row>
    <row r="83" spans="1:8" x14ac:dyDescent="0.25">
      <c r="A83" s="39">
        <v>202007</v>
      </c>
      <c r="B83" s="39">
        <v>47</v>
      </c>
      <c r="C83" s="40" t="s">
        <v>111</v>
      </c>
      <c r="D83" s="40" t="s">
        <v>94</v>
      </c>
      <c r="E83" s="40" t="s">
        <v>128</v>
      </c>
      <c r="F83" s="44" t="b">
        <v>0</v>
      </c>
      <c r="G83" s="44" t="b">
        <v>1</v>
      </c>
      <c r="H83" s="57">
        <v>338735.28</v>
      </c>
    </row>
    <row r="84" spans="1:8" x14ac:dyDescent="0.25">
      <c r="A84" s="39">
        <v>202007</v>
      </c>
      <c r="B84" s="39">
        <v>56</v>
      </c>
      <c r="C84" s="40" t="s">
        <v>136</v>
      </c>
      <c r="D84" s="40" t="s">
        <v>94</v>
      </c>
      <c r="E84" s="40" t="s">
        <v>128</v>
      </c>
      <c r="F84" s="44" t="b">
        <v>0</v>
      </c>
      <c r="G84" s="44" t="b">
        <v>1</v>
      </c>
      <c r="H84" s="57">
        <v>8721.32</v>
      </c>
    </row>
    <row r="85" spans="1:8" x14ac:dyDescent="0.25">
      <c r="A85" s="39">
        <v>202007</v>
      </c>
      <c r="B85" s="39">
        <v>57</v>
      </c>
      <c r="C85" s="40" t="s">
        <v>146</v>
      </c>
      <c r="D85" s="40" t="s">
        <v>94</v>
      </c>
      <c r="E85" s="40" t="s">
        <v>128</v>
      </c>
      <c r="F85" s="44" t="b">
        <v>0</v>
      </c>
      <c r="G85" s="44" t="b">
        <v>1</v>
      </c>
      <c r="H85" s="57">
        <v>3856.35</v>
      </c>
    </row>
    <row r="86" spans="1:8" x14ac:dyDescent="0.25">
      <c r="A86" s="39">
        <v>202007</v>
      </c>
      <c r="B86" s="39">
        <v>57</v>
      </c>
      <c r="C86" s="40" t="s">
        <v>148</v>
      </c>
      <c r="D86" s="40" t="s">
        <v>94</v>
      </c>
      <c r="E86" s="40" t="s">
        <v>128</v>
      </c>
      <c r="F86" s="44" t="b">
        <v>0</v>
      </c>
      <c r="G86" s="44" t="b">
        <v>1</v>
      </c>
      <c r="H86" s="57">
        <v>2570.9</v>
      </c>
    </row>
    <row r="87" spans="1:8" x14ac:dyDescent="0.25">
      <c r="A87" s="39">
        <v>202007</v>
      </c>
      <c r="B87" s="39">
        <v>60</v>
      </c>
      <c r="C87" s="40" t="s">
        <v>149</v>
      </c>
      <c r="D87" s="40" t="s">
        <v>94</v>
      </c>
      <c r="E87" s="40" t="s">
        <v>128</v>
      </c>
      <c r="F87" s="44" t="b">
        <v>0</v>
      </c>
      <c r="G87" s="44" t="b">
        <v>1</v>
      </c>
      <c r="H87" s="57">
        <v>1045.4000000000001</v>
      </c>
    </row>
    <row r="88" spans="1:8" x14ac:dyDescent="0.25">
      <c r="A88" s="39">
        <v>202007</v>
      </c>
      <c r="B88" s="39">
        <v>61</v>
      </c>
      <c r="C88" s="40" t="s">
        <v>235</v>
      </c>
      <c r="D88" s="40" t="s">
        <v>94</v>
      </c>
      <c r="E88" s="40" t="s">
        <v>128</v>
      </c>
      <c r="F88" s="44" t="b">
        <v>0</v>
      </c>
      <c r="G88" s="44" t="b">
        <v>1</v>
      </c>
      <c r="H88" s="57">
        <v>11087.02</v>
      </c>
    </row>
    <row r="89" spans="1:8" x14ac:dyDescent="0.25">
      <c r="A89" s="39">
        <v>202007</v>
      </c>
      <c r="B89" s="39">
        <v>62</v>
      </c>
      <c r="C89" s="40" t="s">
        <v>132</v>
      </c>
      <c r="D89" s="40" t="s">
        <v>94</v>
      </c>
      <c r="E89" s="40" t="s">
        <v>128</v>
      </c>
      <c r="F89" s="44" t="b">
        <v>0</v>
      </c>
      <c r="G89" s="44" t="b">
        <v>1</v>
      </c>
      <c r="H89" s="57">
        <v>87813.37</v>
      </c>
    </row>
    <row r="90" spans="1:8" x14ac:dyDescent="0.25">
      <c r="A90" s="39">
        <v>202007</v>
      </c>
      <c r="B90" s="39">
        <v>64</v>
      </c>
      <c r="C90" s="40" t="s">
        <v>133</v>
      </c>
      <c r="D90" s="40" t="s">
        <v>94</v>
      </c>
      <c r="E90" s="40" t="s">
        <v>128</v>
      </c>
      <c r="F90" s="44" t="b">
        <v>0</v>
      </c>
      <c r="G90" s="44" t="b">
        <v>1</v>
      </c>
      <c r="H90" s="57">
        <v>29968.05</v>
      </c>
    </row>
    <row r="91" spans="1:8" x14ac:dyDescent="0.25">
      <c r="A91" s="39">
        <v>202007</v>
      </c>
      <c r="B91" s="39">
        <v>66</v>
      </c>
      <c r="C91" s="40" t="s">
        <v>43</v>
      </c>
      <c r="D91" s="40" t="s">
        <v>94</v>
      </c>
      <c r="E91" s="40" t="s">
        <v>128</v>
      </c>
      <c r="F91" s="44" t="b">
        <v>0</v>
      </c>
      <c r="G91" s="44" t="b">
        <v>1</v>
      </c>
      <c r="H91" s="57">
        <v>52490.17</v>
      </c>
    </row>
    <row r="92" spans="1:8" x14ac:dyDescent="0.25">
      <c r="A92" s="39">
        <v>202007</v>
      </c>
      <c r="B92" s="39">
        <v>70</v>
      </c>
      <c r="C92" s="40" t="s">
        <v>147</v>
      </c>
      <c r="D92" s="40" t="s">
        <v>94</v>
      </c>
      <c r="E92" s="40" t="s">
        <v>128</v>
      </c>
      <c r="F92" s="44" t="b">
        <v>0</v>
      </c>
      <c r="G92" s="44" t="b">
        <v>1</v>
      </c>
      <c r="H92" s="57">
        <v>17636.04</v>
      </c>
    </row>
    <row r="93" spans="1:8" x14ac:dyDescent="0.25">
      <c r="A93" s="39">
        <v>202007</v>
      </c>
      <c r="B93" s="39">
        <v>70</v>
      </c>
      <c r="C93" s="40" t="s">
        <v>139</v>
      </c>
      <c r="D93" s="40" t="s">
        <v>94</v>
      </c>
      <c r="E93" s="40" t="s">
        <v>128</v>
      </c>
      <c r="F93" s="44" t="b">
        <v>0</v>
      </c>
      <c r="G93" s="44" t="b">
        <v>1</v>
      </c>
      <c r="H93" s="57">
        <v>808906.44</v>
      </c>
    </row>
    <row r="94" spans="1:8" x14ac:dyDescent="0.25">
      <c r="A94" s="39">
        <v>202007</v>
      </c>
      <c r="B94" s="39">
        <v>70</v>
      </c>
      <c r="C94" s="40" t="s">
        <v>140</v>
      </c>
      <c r="D94" s="40" t="s">
        <v>94</v>
      </c>
      <c r="E94" s="40" t="s">
        <v>128</v>
      </c>
      <c r="F94" s="44" t="b">
        <v>0</v>
      </c>
      <c r="G94" s="44" t="b">
        <v>1</v>
      </c>
      <c r="H94" s="57">
        <v>362126.72</v>
      </c>
    </row>
    <row r="95" spans="1:8" x14ac:dyDescent="0.25">
      <c r="A95" s="39">
        <v>202007</v>
      </c>
      <c r="B95" s="39">
        <v>73</v>
      </c>
      <c r="C95" s="40" t="s">
        <v>135</v>
      </c>
      <c r="D95" s="40" t="s">
        <v>94</v>
      </c>
      <c r="E95" s="40" t="s">
        <v>128</v>
      </c>
      <c r="F95" s="44" t="b">
        <v>0</v>
      </c>
      <c r="G95" s="44" t="b">
        <v>1</v>
      </c>
      <c r="H95" s="57">
        <v>3334.59</v>
      </c>
    </row>
    <row r="96" spans="1:8" x14ac:dyDescent="0.25">
      <c r="A96" s="39">
        <v>202007</v>
      </c>
      <c r="B96" s="39">
        <v>73</v>
      </c>
      <c r="C96" s="40" t="s">
        <v>138</v>
      </c>
      <c r="D96" s="40" t="s">
        <v>94</v>
      </c>
      <c r="E96" s="40" t="s">
        <v>128</v>
      </c>
      <c r="F96" s="44" t="b">
        <v>0</v>
      </c>
      <c r="G96" s="44" t="b">
        <v>1</v>
      </c>
      <c r="H96" s="57">
        <v>6669.18</v>
      </c>
    </row>
    <row r="97" spans="1:8" x14ac:dyDescent="0.25">
      <c r="A97" s="39">
        <v>202007</v>
      </c>
      <c r="B97" s="39">
        <v>73</v>
      </c>
      <c r="C97" s="40" t="s">
        <v>141</v>
      </c>
      <c r="D97" s="40" t="s">
        <v>94</v>
      </c>
      <c r="E97" s="40" t="s">
        <v>128</v>
      </c>
      <c r="F97" s="44" t="b">
        <v>0</v>
      </c>
      <c r="G97" s="44" t="b">
        <v>1</v>
      </c>
      <c r="H97" s="57">
        <v>25088.82</v>
      </c>
    </row>
    <row r="98" spans="1:8" x14ac:dyDescent="0.25">
      <c r="A98" s="39">
        <v>202007</v>
      </c>
      <c r="B98" s="39">
        <v>45</v>
      </c>
      <c r="C98" s="40" t="s">
        <v>137</v>
      </c>
      <c r="D98" s="40" t="s">
        <v>94</v>
      </c>
      <c r="E98" s="40" t="s">
        <v>95</v>
      </c>
      <c r="F98" s="44" t="b">
        <v>0</v>
      </c>
      <c r="G98" s="44" t="b">
        <v>1</v>
      </c>
      <c r="H98" s="57">
        <v>174620.05</v>
      </c>
    </row>
    <row r="99" spans="1:8" x14ac:dyDescent="0.25">
      <c r="A99" s="39">
        <v>202007</v>
      </c>
      <c r="B99" s="39">
        <v>47</v>
      </c>
      <c r="C99" s="40" t="s">
        <v>111</v>
      </c>
      <c r="D99" s="40" t="s">
        <v>94</v>
      </c>
      <c r="E99" s="40" t="s">
        <v>95</v>
      </c>
      <c r="F99" s="44" t="b">
        <v>0</v>
      </c>
      <c r="G99" s="44" t="b">
        <v>1</v>
      </c>
      <c r="H99" s="57">
        <v>67747.06</v>
      </c>
    </row>
    <row r="100" spans="1:8" x14ac:dyDescent="0.25">
      <c r="A100" s="39">
        <v>202007</v>
      </c>
      <c r="B100" s="39">
        <v>54</v>
      </c>
      <c r="C100" s="40" t="s">
        <v>150</v>
      </c>
      <c r="D100" s="40" t="s">
        <v>94</v>
      </c>
      <c r="E100" s="40" t="s">
        <v>95</v>
      </c>
      <c r="F100" s="44" t="b">
        <v>0</v>
      </c>
      <c r="G100" s="44" t="b">
        <v>1</v>
      </c>
      <c r="H100" s="57">
        <v>5536.73</v>
      </c>
    </row>
    <row r="101" spans="1:8" x14ac:dyDescent="0.25">
      <c r="A101" s="39">
        <v>202007</v>
      </c>
      <c r="B101" s="39">
        <v>56</v>
      </c>
      <c r="C101" s="40" t="s">
        <v>136</v>
      </c>
      <c r="D101" s="40" t="s">
        <v>94</v>
      </c>
      <c r="E101" s="40" t="s">
        <v>95</v>
      </c>
      <c r="F101" s="44" t="b">
        <v>0</v>
      </c>
      <c r="G101" s="44" t="b">
        <v>1</v>
      </c>
      <c r="H101" s="57">
        <v>1744.26</v>
      </c>
    </row>
    <row r="102" spans="1:8" x14ac:dyDescent="0.25">
      <c r="A102" s="39">
        <v>202007</v>
      </c>
      <c r="B102" s="39">
        <v>57</v>
      </c>
      <c r="C102" s="40" t="s">
        <v>146</v>
      </c>
      <c r="D102" s="40" t="s">
        <v>94</v>
      </c>
      <c r="E102" s="40" t="s">
        <v>95</v>
      </c>
      <c r="F102" s="44" t="b">
        <v>0</v>
      </c>
      <c r="G102" s="44" t="b">
        <v>1</v>
      </c>
      <c r="H102" s="57">
        <v>8676.7999999999993</v>
      </c>
    </row>
    <row r="103" spans="1:8" x14ac:dyDescent="0.25">
      <c r="A103" s="39">
        <v>202007</v>
      </c>
      <c r="B103" s="39">
        <v>57</v>
      </c>
      <c r="C103" s="40" t="s">
        <v>148</v>
      </c>
      <c r="D103" s="40" t="s">
        <v>94</v>
      </c>
      <c r="E103" s="40" t="s">
        <v>95</v>
      </c>
      <c r="F103" s="44" t="b">
        <v>0</v>
      </c>
      <c r="G103" s="44" t="b">
        <v>1</v>
      </c>
      <c r="H103" s="57">
        <v>5784.53</v>
      </c>
    </row>
    <row r="104" spans="1:8" x14ac:dyDescent="0.25">
      <c r="A104" s="39">
        <v>202007</v>
      </c>
      <c r="B104" s="39">
        <v>60</v>
      </c>
      <c r="C104" s="40" t="s">
        <v>149</v>
      </c>
      <c r="D104" s="40" t="s">
        <v>94</v>
      </c>
      <c r="E104" s="40" t="s">
        <v>95</v>
      </c>
      <c r="F104" s="44" t="b">
        <v>0</v>
      </c>
      <c r="G104" s="44" t="b">
        <v>1</v>
      </c>
      <c r="H104" s="57">
        <v>836.32</v>
      </c>
    </row>
    <row r="105" spans="1:8" x14ac:dyDescent="0.25">
      <c r="A105" s="39">
        <v>202007</v>
      </c>
      <c r="B105" s="39">
        <v>61</v>
      </c>
      <c r="C105" s="40" t="s">
        <v>235</v>
      </c>
      <c r="D105" s="40" t="s">
        <v>94</v>
      </c>
      <c r="E105" s="40" t="s">
        <v>95</v>
      </c>
      <c r="F105" s="44" t="b">
        <v>0</v>
      </c>
      <c r="G105" s="44" t="b">
        <v>1</v>
      </c>
      <c r="H105" s="57">
        <v>11087.02</v>
      </c>
    </row>
    <row r="106" spans="1:8" x14ac:dyDescent="0.25">
      <c r="A106" s="39">
        <v>202007</v>
      </c>
      <c r="B106" s="39">
        <v>62</v>
      </c>
      <c r="C106" s="40" t="s">
        <v>132</v>
      </c>
      <c r="D106" s="40" t="s">
        <v>94</v>
      </c>
      <c r="E106" s="40" t="s">
        <v>95</v>
      </c>
      <c r="F106" s="44" t="b">
        <v>0</v>
      </c>
      <c r="G106" s="44" t="b">
        <v>1</v>
      </c>
      <c r="H106" s="57">
        <v>43906.68</v>
      </c>
    </row>
    <row r="107" spans="1:8" x14ac:dyDescent="0.25">
      <c r="A107" s="39">
        <v>202007</v>
      </c>
      <c r="B107" s="39">
        <v>64</v>
      </c>
      <c r="C107" s="40" t="s">
        <v>133</v>
      </c>
      <c r="D107" s="40" t="s">
        <v>94</v>
      </c>
      <c r="E107" s="40" t="s">
        <v>95</v>
      </c>
      <c r="F107" s="44" t="b">
        <v>0</v>
      </c>
      <c r="G107" s="44" t="b">
        <v>1</v>
      </c>
      <c r="H107" s="57">
        <v>29968.05</v>
      </c>
    </row>
    <row r="108" spans="1:8" x14ac:dyDescent="0.25">
      <c r="A108" s="39">
        <v>202007</v>
      </c>
      <c r="B108" s="39">
        <v>66</v>
      </c>
      <c r="C108" s="40" t="s">
        <v>43</v>
      </c>
      <c r="D108" s="40" t="s">
        <v>94</v>
      </c>
      <c r="E108" s="40" t="s">
        <v>95</v>
      </c>
      <c r="F108" s="44" t="b">
        <v>0</v>
      </c>
      <c r="G108" s="44" t="b">
        <v>1</v>
      </c>
      <c r="H108" s="57">
        <v>9543.67</v>
      </c>
    </row>
    <row r="109" spans="1:8" x14ac:dyDescent="0.25">
      <c r="A109" s="39">
        <v>202007</v>
      </c>
      <c r="B109" s="39">
        <v>70</v>
      </c>
      <c r="C109" s="40" t="s">
        <v>147</v>
      </c>
      <c r="D109" s="40" t="s">
        <v>94</v>
      </c>
      <c r="E109" s="40" t="s">
        <v>95</v>
      </c>
      <c r="F109" s="44" t="b">
        <v>0</v>
      </c>
      <c r="G109" s="44" t="b">
        <v>1</v>
      </c>
      <c r="H109" s="57">
        <v>7054.42</v>
      </c>
    </row>
    <row r="110" spans="1:8" x14ac:dyDescent="0.25">
      <c r="A110" s="39">
        <v>202007</v>
      </c>
      <c r="B110" s="39">
        <v>70</v>
      </c>
      <c r="C110" s="40" t="s">
        <v>139</v>
      </c>
      <c r="D110" s="40" t="s">
        <v>94</v>
      </c>
      <c r="E110" s="40" t="s">
        <v>95</v>
      </c>
      <c r="F110" s="44" t="b">
        <v>0</v>
      </c>
      <c r="G110" s="44" t="b">
        <v>1</v>
      </c>
      <c r="H110" s="57">
        <v>404453.22</v>
      </c>
    </row>
    <row r="111" spans="1:8" x14ac:dyDescent="0.25">
      <c r="A111" s="39">
        <v>202007</v>
      </c>
      <c r="B111" s="39">
        <v>70</v>
      </c>
      <c r="C111" s="40" t="s">
        <v>140</v>
      </c>
      <c r="D111" s="40" t="s">
        <v>94</v>
      </c>
      <c r="E111" s="40" t="s">
        <v>95</v>
      </c>
      <c r="F111" s="44" t="b">
        <v>0</v>
      </c>
      <c r="G111" s="44" t="b">
        <v>1</v>
      </c>
      <c r="H111" s="57">
        <v>12933.1</v>
      </c>
    </row>
    <row r="112" spans="1:8" x14ac:dyDescent="0.25">
      <c r="A112" s="39">
        <v>202007</v>
      </c>
      <c r="B112" s="39">
        <v>73</v>
      </c>
      <c r="C112" s="40" t="s">
        <v>135</v>
      </c>
      <c r="D112" s="40" t="s">
        <v>94</v>
      </c>
      <c r="E112" s="40" t="s">
        <v>95</v>
      </c>
      <c r="F112" s="44" t="b">
        <v>0</v>
      </c>
      <c r="G112" s="44" t="b">
        <v>1</v>
      </c>
      <c r="H112" s="57">
        <v>13338.36</v>
      </c>
    </row>
    <row r="113" spans="1:8" x14ac:dyDescent="0.25">
      <c r="A113" s="39">
        <v>202007</v>
      </c>
      <c r="B113" s="39">
        <v>73</v>
      </c>
      <c r="C113" s="40" t="s">
        <v>138</v>
      </c>
      <c r="D113" s="40" t="s">
        <v>94</v>
      </c>
      <c r="E113" s="40" t="s">
        <v>95</v>
      </c>
      <c r="F113" s="44" t="b">
        <v>0</v>
      </c>
      <c r="G113" s="44" t="b">
        <v>1</v>
      </c>
      <c r="H113" s="57">
        <v>4446.12</v>
      </c>
    </row>
    <row r="114" spans="1:8" x14ac:dyDescent="0.25">
      <c r="A114" s="39">
        <v>202007</v>
      </c>
      <c r="B114" s="39">
        <v>73</v>
      </c>
      <c r="C114" s="40" t="s">
        <v>141</v>
      </c>
      <c r="D114" s="40" t="s">
        <v>94</v>
      </c>
      <c r="E114" s="40" t="s">
        <v>95</v>
      </c>
      <c r="F114" s="44" t="b">
        <v>0</v>
      </c>
      <c r="G114" s="44" t="b">
        <v>1</v>
      </c>
      <c r="H114" s="57">
        <v>25088.82</v>
      </c>
    </row>
    <row r="115" spans="1:8" x14ac:dyDescent="0.25">
      <c r="A115" s="39">
        <v>202007</v>
      </c>
      <c r="B115" s="39">
        <v>56</v>
      </c>
      <c r="C115" s="40" t="s">
        <v>136</v>
      </c>
      <c r="D115" s="40" t="s">
        <v>112</v>
      </c>
      <c r="E115" s="40" t="s">
        <v>101</v>
      </c>
      <c r="F115" s="44" t="b">
        <v>0</v>
      </c>
      <c r="G115" s="44" t="b">
        <v>1</v>
      </c>
      <c r="H115" s="57">
        <v>3488.53</v>
      </c>
    </row>
    <row r="116" spans="1:8" x14ac:dyDescent="0.25">
      <c r="A116" s="39">
        <v>202007</v>
      </c>
      <c r="B116" s="39">
        <v>57</v>
      </c>
      <c r="C116" s="40" t="s">
        <v>146</v>
      </c>
      <c r="D116" s="40" t="s">
        <v>112</v>
      </c>
      <c r="E116" s="40" t="s">
        <v>101</v>
      </c>
      <c r="F116" s="44" t="b">
        <v>0</v>
      </c>
      <c r="G116" s="44" t="b">
        <v>1</v>
      </c>
      <c r="H116" s="57">
        <v>4820.4399999999996</v>
      </c>
    </row>
    <row r="117" spans="1:8" x14ac:dyDescent="0.25">
      <c r="A117" s="39">
        <v>202007</v>
      </c>
      <c r="B117" s="39">
        <v>57</v>
      </c>
      <c r="C117" s="40" t="s">
        <v>148</v>
      </c>
      <c r="D117" s="40" t="s">
        <v>112</v>
      </c>
      <c r="E117" s="40" t="s">
        <v>101</v>
      </c>
      <c r="F117" s="44" t="b">
        <v>0</v>
      </c>
      <c r="G117" s="44" t="b">
        <v>1</v>
      </c>
      <c r="H117" s="57">
        <v>3213.63</v>
      </c>
    </row>
    <row r="118" spans="1:8" x14ac:dyDescent="0.25">
      <c r="A118" s="39">
        <v>202007</v>
      </c>
      <c r="B118" s="39">
        <v>60</v>
      </c>
      <c r="C118" s="40" t="s">
        <v>149</v>
      </c>
      <c r="D118" s="40" t="s">
        <v>112</v>
      </c>
      <c r="E118" s="40" t="s">
        <v>101</v>
      </c>
      <c r="F118" s="44" t="b">
        <v>0</v>
      </c>
      <c r="G118" s="44" t="b">
        <v>1</v>
      </c>
      <c r="H118" s="57">
        <v>1881.72</v>
      </c>
    </row>
    <row r="119" spans="1:8" x14ac:dyDescent="0.25">
      <c r="A119" s="39">
        <v>202007</v>
      </c>
      <c r="B119" s="39">
        <v>61</v>
      </c>
      <c r="C119" s="40" t="s">
        <v>235</v>
      </c>
      <c r="D119" s="40" t="s">
        <v>112</v>
      </c>
      <c r="E119" s="40" t="s">
        <v>101</v>
      </c>
      <c r="F119" s="44" t="b">
        <v>0</v>
      </c>
      <c r="G119" s="44" t="b">
        <v>1</v>
      </c>
      <c r="H119" s="57">
        <v>5543.51</v>
      </c>
    </row>
    <row r="120" spans="1:8" x14ac:dyDescent="0.25">
      <c r="A120" s="39">
        <v>202007</v>
      </c>
      <c r="B120" s="39">
        <v>66</v>
      </c>
      <c r="C120" s="40" t="s">
        <v>43</v>
      </c>
      <c r="D120" s="40" t="s">
        <v>112</v>
      </c>
      <c r="E120" s="40" t="s">
        <v>101</v>
      </c>
      <c r="F120" s="44" t="b">
        <v>0</v>
      </c>
      <c r="G120" s="44" t="b">
        <v>1</v>
      </c>
      <c r="H120" s="57">
        <v>4771.83</v>
      </c>
    </row>
    <row r="121" spans="1:8" x14ac:dyDescent="0.25">
      <c r="A121" s="39">
        <v>202007</v>
      </c>
      <c r="B121" s="39">
        <v>70</v>
      </c>
      <c r="C121" s="40" t="s">
        <v>147</v>
      </c>
      <c r="D121" s="40" t="s">
        <v>112</v>
      </c>
      <c r="E121" s="40" t="s">
        <v>101</v>
      </c>
      <c r="F121" s="44" t="b">
        <v>0</v>
      </c>
      <c r="G121" s="44" t="b">
        <v>1</v>
      </c>
      <c r="H121" s="57">
        <v>3527.21</v>
      </c>
    </row>
    <row r="122" spans="1:8" x14ac:dyDescent="0.25">
      <c r="A122" s="39">
        <v>202007</v>
      </c>
      <c r="B122" s="39">
        <v>70</v>
      </c>
      <c r="C122" s="40" t="s">
        <v>139</v>
      </c>
      <c r="D122" s="40" t="s">
        <v>112</v>
      </c>
      <c r="E122" s="40" t="s">
        <v>101</v>
      </c>
      <c r="F122" s="44" t="b">
        <v>0</v>
      </c>
      <c r="G122" s="44" t="b">
        <v>1</v>
      </c>
      <c r="H122" s="57">
        <v>101113.3</v>
      </c>
    </row>
    <row r="123" spans="1:8" x14ac:dyDescent="0.25">
      <c r="A123" s="39">
        <v>202007</v>
      </c>
      <c r="B123" s="39">
        <v>70</v>
      </c>
      <c r="C123" s="40" t="s">
        <v>140</v>
      </c>
      <c r="D123" s="40" t="s">
        <v>112</v>
      </c>
      <c r="E123" s="40" t="s">
        <v>101</v>
      </c>
      <c r="F123" s="44" t="b">
        <v>0</v>
      </c>
      <c r="G123" s="44" t="b">
        <v>1</v>
      </c>
      <c r="H123" s="57">
        <v>12933.1</v>
      </c>
    </row>
    <row r="124" spans="1:8" x14ac:dyDescent="0.25">
      <c r="A124" s="39">
        <v>202007</v>
      </c>
      <c r="B124" s="39">
        <v>73</v>
      </c>
      <c r="C124" s="40" t="s">
        <v>135</v>
      </c>
      <c r="D124" s="40" t="s">
        <v>112</v>
      </c>
      <c r="E124" s="40" t="s">
        <v>101</v>
      </c>
      <c r="F124" s="44" t="b">
        <v>0</v>
      </c>
      <c r="G124" s="44" t="b">
        <v>1</v>
      </c>
      <c r="H124" s="57">
        <v>2223.06</v>
      </c>
    </row>
    <row r="125" spans="1:8" x14ac:dyDescent="0.25">
      <c r="A125" s="39">
        <v>202007</v>
      </c>
      <c r="B125" s="39">
        <v>73</v>
      </c>
      <c r="C125" s="40" t="s">
        <v>138</v>
      </c>
      <c r="D125" s="40" t="s">
        <v>112</v>
      </c>
      <c r="E125" s="40" t="s">
        <v>101</v>
      </c>
      <c r="F125" s="44" t="b">
        <v>0</v>
      </c>
      <c r="G125" s="44" t="b">
        <v>1</v>
      </c>
      <c r="H125" s="57">
        <v>2223.06</v>
      </c>
    </row>
    <row r="126" spans="1:8" x14ac:dyDescent="0.25">
      <c r="A126" s="39">
        <v>202007</v>
      </c>
      <c r="B126" s="39">
        <v>73</v>
      </c>
      <c r="C126" s="40" t="s">
        <v>141</v>
      </c>
      <c r="D126" s="40" t="s">
        <v>112</v>
      </c>
      <c r="E126" s="40" t="s">
        <v>101</v>
      </c>
      <c r="F126" s="44" t="b">
        <v>0</v>
      </c>
      <c r="G126" s="44" t="b">
        <v>1</v>
      </c>
      <c r="H126" s="57">
        <v>12544.41</v>
      </c>
    </row>
    <row r="127" spans="1:8" x14ac:dyDescent="0.25">
      <c r="A127" s="39">
        <v>202007</v>
      </c>
      <c r="B127" s="39">
        <v>45</v>
      </c>
      <c r="C127" s="40" t="s">
        <v>137</v>
      </c>
      <c r="D127" s="40" t="s">
        <v>96</v>
      </c>
      <c r="E127" s="40" t="s">
        <v>122</v>
      </c>
      <c r="F127" s="44" t="b">
        <v>0</v>
      </c>
      <c r="G127" s="44" t="b">
        <v>1</v>
      </c>
      <c r="H127" s="57">
        <v>567515.18000000005</v>
      </c>
    </row>
    <row r="128" spans="1:8" x14ac:dyDescent="0.25">
      <c r="A128" s="39">
        <v>202007</v>
      </c>
      <c r="B128" s="39">
        <v>47</v>
      </c>
      <c r="C128" s="40" t="s">
        <v>111</v>
      </c>
      <c r="D128" s="40" t="s">
        <v>96</v>
      </c>
      <c r="E128" s="40" t="s">
        <v>122</v>
      </c>
      <c r="F128" s="44" t="b">
        <v>0</v>
      </c>
      <c r="G128" s="44" t="b">
        <v>1</v>
      </c>
      <c r="H128" s="57">
        <v>112911.76</v>
      </c>
    </row>
    <row r="129" spans="1:8" x14ac:dyDescent="0.25">
      <c r="A129" s="39">
        <v>202007</v>
      </c>
      <c r="B129" s="39">
        <v>54</v>
      </c>
      <c r="C129" s="40" t="s">
        <v>150</v>
      </c>
      <c r="D129" s="40" t="s">
        <v>96</v>
      </c>
      <c r="E129" s="40" t="s">
        <v>122</v>
      </c>
      <c r="F129" s="44" t="b">
        <v>0</v>
      </c>
      <c r="G129" s="44" t="b">
        <v>1</v>
      </c>
      <c r="H129" s="57">
        <v>41525.5</v>
      </c>
    </row>
    <row r="130" spans="1:8" x14ac:dyDescent="0.25">
      <c r="A130" s="39">
        <v>202007</v>
      </c>
      <c r="B130" s="39">
        <v>56</v>
      </c>
      <c r="C130" s="40" t="s">
        <v>136</v>
      </c>
      <c r="D130" s="40" t="s">
        <v>96</v>
      </c>
      <c r="E130" s="40" t="s">
        <v>122</v>
      </c>
      <c r="F130" s="44" t="b">
        <v>0</v>
      </c>
      <c r="G130" s="44" t="b">
        <v>1</v>
      </c>
      <c r="H130" s="57">
        <v>10465.59</v>
      </c>
    </row>
    <row r="131" spans="1:8" x14ac:dyDescent="0.25">
      <c r="A131" s="39">
        <v>202007</v>
      </c>
      <c r="B131" s="39">
        <v>57</v>
      </c>
      <c r="C131" s="40" t="s">
        <v>146</v>
      </c>
      <c r="D131" s="40" t="s">
        <v>96</v>
      </c>
      <c r="E131" s="40" t="s">
        <v>122</v>
      </c>
      <c r="F131" s="44" t="b">
        <v>0</v>
      </c>
      <c r="G131" s="44" t="b">
        <v>1</v>
      </c>
      <c r="H131" s="57">
        <v>7712.71</v>
      </c>
    </row>
    <row r="132" spans="1:8" x14ac:dyDescent="0.25">
      <c r="A132" s="39">
        <v>202007</v>
      </c>
      <c r="B132" s="39">
        <v>57</v>
      </c>
      <c r="C132" s="40" t="s">
        <v>148</v>
      </c>
      <c r="D132" s="40" t="s">
        <v>96</v>
      </c>
      <c r="E132" s="40" t="s">
        <v>122</v>
      </c>
      <c r="F132" s="44" t="b">
        <v>0</v>
      </c>
      <c r="G132" s="44" t="b">
        <v>1</v>
      </c>
      <c r="H132" s="57">
        <v>5141.8100000000004</v>
      </c>
    </row>
    <row r="133" spans="1:8" x14ac:dyDescent="0.25">
      <c r="A133" s="39">
        <v>202007</v>
      </c>
      <c r="B133" s="39">
        <v>60</v>
      </c>
      <c r="C133" s="40" t="s">
        <v>149</v>
      </c>
      <c r="D133" s="40" t="s">
        <v>96</v>
      </c>
      <c r="E133" s="40" t="s">
        <v>122</v>
      </c>
      <c r="F133" s="44" t="b">
        <v>0</v>
      </c>
      <c r="G133" s="44" t="b">
        <v>1</v>
      </c>
      <c r="H133" s="57">
        <v>2090.79</v>
      </c>
    </row>
    <row r="134" spans="1:8" x14ac:dyDescent="0.25">
      <c r="A134" s="39">
        <v>202007</v>
      </c>
      <c r="B134" s="39">
        <v>61</v>
      </c>
      <c r="C134" s="40" t="s">
        <v>235</v>
      </c>
      <c r="D134" s="40" t="s">
        <v>96</v>
      </c>
      <c r="E134" s="40" t="s">
        <v>122</v>
      </c>
      <c r="F134" s="44" t="b">
        <v>0</v>
      </c>
      <c r="G134" s="44" t="b">
        <v>1</v>
      </c>
      <c r="H134" s="57">
        <v>11087.02</v>
      </c>
    </row>
    <row r="135" spans="1:8" x14ac:dyDescent="0.25">
      <c r="A135" s="39">
        <v>202007</v>
      </c>
      <c r="B135" s="39">
        <v>62</v>
      </c>
      <c r="C135" s="40" t="s">
        <v>132</v>
      </c>
      <c r="D135" s="40" t="s">
        <v>96</v>
      </c>
      <c r="E135" s="40" t="s">
        <v>122</v>
      </c>
      <c r="F135" s="44" t="b">
        <v>0</v>
      </c>
      <c r="G135" s="44" t="b">
        <v>1</v>
      </c>
      <c r="H135" s="57">
        <v>241486.76</v>
      </c>
    </row>
    <row r="136" spans="1:8" x14ac:dyDescent="0.25">
      <c r="A136" s="39">
        <v>202007</v>
      </c>
      <c r="B136" s="39">
        <v>64</v>
      </c>
      <c r="C136" s="40" t="s">
        <v>133</v>
      </c>
      <c r="D136" s="40" t="s">
        <v>96</v>
      </c>
      <c r="E136" s="40" t="s">
        <v>122</v>
      </c>
      <c r="F136" s="44" t="b">
        <v>0</v>
      </c>
      <c r="G136" s="44" t="b">
        <v>1</v>
      </c>
      <c r="H136" s="57">
        <v>239744.43</v>
      </c>
    </row>
    <row r="137" spans="1:8" x14ac:dyDescent="0.25">
      <c r="A137" s="39">
        <v>202007</v>
      </c>
      <c r="B137" s="39">
        <v>66</v>
      </c>
      <c r="C137" s="40" t="s">
        <v>43</v>
      </c>
      <c r="D137" s="40" t="s">
        <v>96</v>
      </c>
      <c r="E137" s="40" t="s">
        <v>122</v>
      </c>
      <c r="F137" s="44" t="b">
        <v>0</v>
      </c>
      <c r="G137" s="44" t="b">
        <v>1</v>
      </c>
      <c r="H137" s="57">
        <v>23859.17</v>
      </c>
    </row>
    <row r="138" spans="1:8" x14ac:dyDescent="0.25">
      <c r="A138" s="39">
        <v>202007</v>
      </c>
      <c r="B138" s="39">
        <v>70</v>
      </c>
      <c r="C138" s="40" t="s">
        <v>147</v>
      </c>
      <c r="D138" s="40" t="s">
        <v>96</v>
      </c>
      <c r="E138" s="40" t="s">
        <v>122</v>
      </c>
      <c r="F138" s="44" t="b">
        <v>0</v>
      </c>
      <c r="G138" s="44" t="b">
        <v>1</v>
      </c>
      <c r="H138" s="57">
        <v>3527.21</v>
      </c>
    </row>
    <row r="139" spans="1:8" x14ac:dyDescent="0.25">
      <c r="A139" s="39">
        <v>202007</v>
      </c>
      <c r="B139" s="39">
        <v>70</v>
      </c>
      <c r="C139" s="40" t="s">
        <v>139</v>
      </c>
      <c r="D139" s="40" t="s">
        <v>96</v>
      </c>
      <c r="E139" s="40" t="s">
        <v>122</v>
      </c>
      <c r="F139" s="44" t="b">
        <v>0</v>
      </c>
      <c r="G139" s="44" t="b">
        <v>1</v>
      </c>
      <c r="H139" s="57">
        <v>1415586.26</v>
      </c>
    </row>
    <row r="140" spans="1:8" x14ac:dyDescent="0.25">
      <c r="A140" s="39">
        <v>202007</v>
      </c>
      <c r="B140" s="39">
        <v>70</v>
      </c>
      <c r="C140" s="40" t="s">
        <v>140</v>
      </c>
      <c r="D140" s="40" t="s">
        <v>96</v>
      </c>
      <c r="E140" s="40" t="s">
        <v>122</v>
      </c>
      <c r="F140" s="44" t="b">
        <v>0</v>
      </c>
      <c r="G140" s="44" t="b">
        <v>1</v>
      </c>
      <c r="H140" s="57">
        <v>25866.19</v>
      </c>
    </row>
    <row r="141" spans="1:8" x14ac:dyDescent="0.25">
      <c r="A141" s="39">
        <v>202007</v>
      </c>
      <c r="B141" s="39">
        <v>73</v>
      </c>
      <c r="C141" s="40" t="s">
        <v>135</v>
      </c>
      <c r="D141" s="40" t="s">
        <v>96</v>
      </c>
      <c r="E141" s="40" t="s">
        <v>122</v>
      </c>
      <c r="F141" s="44" t="b">
        <v>0</v>
      </c>
      <c r="G141" s="44" t="b">
        <v>1</v>
      </c>
      <c r="H141" s="57">
        <v>11115.3</v>
      </c>
    </row>
    <row r="142" spans="1:8" x14ac:dyDescent="0.25">
      <c r="A142" s="39">
        <v>202007</v>
      </c>
      <c r="B142" s="39">
        <v>73</v>
      </c>
      <c r="C142" s="40" t="s">
        <v>138</v>
      </c>
      <c r="D142" s="40" t="s">
        <v>96</v>
      </c>
      <c r="E142" s="40" t="s">
        <v>122</v>
      </c>
      <c r="F142" s="44" t="b">
        <v>0</v>
      </c>
      <c r="G142" s="44" t="b">
        <v>1</v>
      </c>
      <c r="H142" s="57">
        <v>24453.66</v>
      </c>
    </row>
    <row r="143" spans="1:8" x14ac:dyDescent="0.25">
      <c r="A143" s="39">
        <v>202007</v>
      </c>
      <c r="B143" s="39">
        <v>73</v>
      </c>
      <c r="C143" s="40" t="s">
        <v>141</v>
      </c>
      <c r="D143" s="40" t="s">
        <v>96</v>
      </c>
      <c r="E143" s="40" t="s">
        <v>122</v>
      </c>
      <c r="F143" s="44" t="b">
        <v>0</v>
      </c>
      <c r="G143" s="44" t="b">
        <v>1</v>
      </c>
      <c r="H143" s="57">
        <v>175621.74</v>
      </c>
    </row>
    <row r="144" spans="1:8" x14ac:dyDescent="0.25">
      <c r="A144" s="39">
        <v>202007</v>
      </c>
      <c r="B144" s="39">
        <v>45</v>
      </c>
      <c r="C144" s="40" t="s">
        <v>137</v>
      </c>
      <c r="D144" s="40" t="s">
        <v>96</v>
      </c>
      <c r="E144" s="40" t="s">
        <v>117</v>
      </c>
      <c r="F144" s="44" t="b">
        <v>0</v>
      </c>
      <c r="G144" s="44" t="b">
        <v>1</v>
      </c>
      <c r="H144" s="57">
        <v>218275.07</v>
      </c>
    </row>
    <row r="145" spans="1:8" x14ac:dyDescent="0.25">
      <c r="A145" s="39">
        <v>202007</v>
      </c>
      <c r="B145" s="39">
        <v>47</v>
      </c>
      <c r="C145" s="40" t="s">
        <v>111</v>
      </c>
      <c r="D145" s="40" t="s">
        <v>96</v>
      </c>
      <c r="E145" s="40" t="s">
        <v>117</v>
      </c>
      <c r="F145" s="44" t="b">
        <v>0</v>
      </c>
      <c r="G145" s="44" t="b">
        <v>1</v>
      </c>
      <c r="H145" s="57">
        <v>67747.06</v>
      </c>
    </row>
    <row r="146" spans="1:8" x14ac:dyDescent="0.25">
      <c r="A146" s="39">
        <v>202007</v>
      </c>
      <c r="B146" s="39">
        <v>56</v>
      </c>
      <c r="C146" s="40" t="s">
        <v>136</v>
      </c>
      <c r="D146" s="40" t="s">
        <v>96</v>
      </c>
      <c r="E146" s="40" t="s">
        <v>117</v>
      </c>
      <c r="F146" s="44" t="b">
        <v>0</v>
      </c>
      <c r="G146" s="44" t="b">
        <v>1</v>
      </c>
      <c r="H146" s="57">
        <v>1744.26</v>
      </c>
    </row>
    <row r="147" spans="1:8" x14ac:dyDescent="0.25">
      <c r="A147" s="39">
        <v>202007</v>
      </c>
      <c r="B147" s="39">
        <v>57</v>
      </c>
      <c r="C147" s="40" t="s">
        <v>146</v>
      </c>
      <c r="D147" s="40" t="s">
        <v>96</v>
      </c>
      <c r="E147" s="40" t="s">
        <v>117</v>
      </c>
      <c r="F147" s="44" t="b">
        <v>0</v>
      </c>
      <c r="G147" s="44" t="b">
        <v>1</v>
      </c>
      <c r="H147" s="57">
        <v>6748.62</v>
      </c>
    </row>
    <row r="148" spans="1:8" x14ac:dyDescent="0.25">
      <c r="A148" s="39">
        <v>202007</v>
      </c>
      <c r="B148" s="39">
        <v>57</v>
      </c>
      <c r="C148" s="40" t="s">
        <v>148</v>
      </c>
      <c r="D148" s="40" t="s">
        <v>96</v>
      </c>
      <c r="E148" s="40" t="s">
        <v>117</v>
      </c>
      <c r="F148" s="44" t="b">
        <v>0</v>
      </c>
      <c r="G148" s="44" t="b">
        <v>1</v>
      </c>
      <c r="H148" s="57">
        <v>4499.08</v>
      </c>
    </row>
    <row r="149" spans="1:8" x14ac:dyDescent="0.25">
      <c r="A149" s="39">
        <v>202007</v>
      </c>
      <c r="B149" s="39">
        <v>60</v>
      </c>
      <c r="C149" s="40" t="s">
        <v>149</v>
      </c>
      <c r="D149" s="40" t="s">
        <v>96</v>
      </c>
      <c r="E149" s="40" t="s">
        <v>117</v>
      </c>
      <c r="F149" s="44" t="b">
        <v>0</v>
      </c>
      <c r="G149" s="44" t="b">
        <v>1</v>
      </c>
      <c r="H149" s="57">
        <v>836.32</v>
      </c>
    </row>
    <row r="150" spans="1:8" x14ac:dyDescent="0.25">
      <c r="A150" s="39">
        <v>202007</v>
      </c>
      <c r="B150" s="39">
        <v>61</v>
      </c>
      <c r="C150" s="40" t="s">
        <v>235</v>
      </c>
      <c r="D150" s="40" t="s">
        <v>96</v>
      </c>
      <c r="E150" s="40" t="s">
        <v>117</v>
      </c>
      <c r="F150" s="44" t="b">
        <v>0</v>
      </c>
      <c r="G150" s="44" t="b">
        <v>1</v>
      </c>
      <c r="H150" s="57">
        <v>11087.02</v>
      </c>
    </row>
    <row r="151" spans="1:8" x14ac:dyDescent="0.25">
      <c r="A151" s="39">
        <v>202007</v>
      </c>
      <c r="B151" s="39">
        <v>62</v>
      </c>
      <c r="C151" s="40" t="s">
        <v>132</v>
      </c>
      <c r="D151" s="40" t="s">
        <v>96</v>
      </c>
      <c r="E151" s="40" t="s">
        <v>117</v>
      </c>
      <c r="F151" s="44" t="b">
        <v>0</v>
      </c>
      <c r="G151" s="44" t="b">
        <v>1</v>
      </c>
      <c r="H151" s="57">
        <v>219533.42</v>
      </c>
    </row>
    <row r="152" spans="1:8" x14ac:dyDescent="0.25">
      <c r="A152" s="39">
        <v>202007</v>
      </c>
      <c r="B152" s="39">
        <v>64</v>
      </c>
      <c r="C152" s="40" t="s">
        <v>133</v>
      </c>
      <c r="D152" s="40" t="s">
        <v>96</v>
      </c>
      <c r="E152" s="40" t="s">
        <v>117</v>
      </c>
      <c r="F152" s="44" t="b">
        <v>0</v>
      </c>
      <c r="G152" s="44" t="b">
        <v>1</v>
      </c>
      <c r="H152" s="57">
        <v>74920.13</v>
      </c>
    </row>
    <row r="153" spans="1:8" x14ac:dyDescent="0.25">
      <c r="A153" s="39">
        <v>202007</v>
      </c>
      <c r="B153" s="39">
        <v>66</v>
      </c>
      <c r="C153" s="40" t="s">
        <v>43</v>
      </c>
      <c r="D153" s="40" t="s">
        <v>96</v>
      </c>
      <c r="E153" s="40" t="s">
        <v>117</v>
      </c>
      <c r="F153" s="44" t="b">
        <v>0</v>
      </c>
      <c r="G153" s="44" t="b">
        <v>1</v>
      </c>
      <c r="H153" s="57">
        <v>81121.17</v>
      </c>
    </row>
    <row r="154" spans="1:8" x14ac:dyDescent="0.25">
      <c r="A154" s="39">
        <v>202007</v>
      </c>
      <c r="B154" s="39">
        <v>70</v>
      </c>
      <c r="C154" s="40" t="s">
        <v>147</v>
      </c>
      <c r="D154" s="40" t="s">
        <v>96</v>
      </c>
      <c r="E154" s="40" t="s">
        <v>117</v>
      </c>
      <c r="F154" s="44" t="b">
        <v>0</v>
      </c>
      <c r="G154" s="44" t="b">
        <v>1</v>
      </c>
      <c r="H154" s="57">
        <v>3527.21</v>
      </c>
    </row>
    <row r="155" spans="1:8" x14ac:dyDescent="0.25">
      <c r="A155" s="39">
        <v>202007</v>
      </c>
      <c r="B155" s="39">
        <v>70</v>
      </c>
      <c r="C155" s="40" t="s">
        <v>139</v>
      </c>
      <c r="D155" s="40" t="s">
        <v>96</v>
      </c>
      <c r="E155" s="40" t="s">
        <v>117</v>
      </c>
      <c r="F155" s="44" t="b">
        <v>0</v>
      </c>
      <c r="G155" s="44" t="b">
        <v>1</v>
      </c>
      <c r="H155" s="57">
        <v>202226.61</v>
      </c>
    </row>
    <row r="156" spans="1:8" x14ac:dyDescent="0.25">
      <c r="A156" s="39">
        <v>202007</v>
      </c>
      <c r="B156" s="39">
        <v>70</v>
      </c>
      <c r="C156" s="40" t="s">
        <v>140</v>
      </c>
      <c r="D156" s="40" t="s">
        <v>96</v>
      </c>
      <c r="E156" s="40" t="s">
        <v>117</v>
      </c>
      <c r="F156" s="44" t="b">
        <v>0</v>
      </c>
      <c r="G156" s="44" t="b">
        <v>1</v>
      </c>
      <c r="H156" s="57">
        <v>12933.1</v>
      </c>
    </row>
    <row r="157" spans="1:8" x14ac:dyDescent="0.25">
      <c r="A157" s="39">
        <v>202007</v>
      </c>
      <c r="B157" s="39">
        <v>73</v>
      </c>
      <c r="C157" s="40" t="s">
        <v>135</v>
      </c>
      <c r="D157" s="40" t="s">
        <v>96</v>
      </c>
      <c r="E157" s="40" t="s">
        <v>117</v>
      </c>
      <c r="F157" s="44" t="b">
        <v>0</v>
      </c>
      <c r="G157" s="44" t="b">
        <v>1</v>
      </c>
      <c r="H157" s="57">
        <v>2223.06</v>
      </c>
    </row>
    <row r="158" spans="1:8" x14ac:dyDescent="0.25">
      <c r="A158" s="39">
        <v>202007</v>
      </c>
      <c r="B158" s="39">
        <v>73</v>
      </c>
      <c r="C158" s="40" t="s">
        <v>138</v>
      </c>
      <c r="D158" s="40" t="s">
        <v>96</v>
      </c>
      <c r="E158" s="40" t="s">
        <v>117</v>
      </c>
      <c r="F158" s="44" t="b">
        <v>0</v>
      </c>
      <c r="G158" s="44" t="b">
        <v>1</v>
      </c>
      <c r="H158" s="57">
        <v>4446.12</v>
      </c>
    </row>
    <row r="159" spans="1:8" x14ac:dyDescent="0.25">
      <c r="A159" s="39">
        <v>202007</v>
      </c>
      <c r="B159" s="39">
        <v>73</v>
      </c>
      <c r="C159" s="40" t="s">
        <v>141</v>
      </c>
      <c r="D159" s="40" t="s">
        <v>96</v>
      </c>
      <c r="E159" s="40" t="s">
        <v>117</v>
      </c>
      <c r="F159" s="44" t="b">
        <v>0</v>
      </c>
      <c r="G159" s="44" t="b">
        <v>1</v>
      </c>
      <c r="H159" s="57">
        <v>25088.82</v>
      </c>
    </row>
    <row r="160" spans="1:8" x14ac:dyDescent="0.25">
      <c r="A160" s="39">
        <v>202007</v>
      </c>
      <c r="B160" s="39">
        <v>45</v>
      </c>
      <c r="C160" s="40" t="s">
        <v>137</v>
      </c>
      <c r="D160" s="40" t="s">
        <v>96</v>
      </c>
      <c r="E160" s="40" t="s">
        <v>130</v>
      </c>
      <c r="F160" s="44" t="b">
        <v>0</v>
      </c>
      <c r="G160" s="44" t="b">
        <v>1</v>
      </c>
      <c r="H160" s="57">
        <v>87310.03</v>
      </c>
    </row>
    <row r="161" spans="1:8" x14ac:dyDescent="0.25">
      <c r="A161" s="39">
        <v>202007</v>
      </c>
      <c r="B161" s="39">
        <v>47</v>
      </c>
      <c r="C161" s="40" t="s">
        <v>111</v>
      </c>
      <c r="D161" s="40" t="s">
        <v>96</v>
      </c>
      <c r="E161" s="40" t="s">
        <v>130</v>
      </c>
      <c r="F161" s="44" t="b">
        <v>0</v>
      </c>
      <c r="G161" s="44" t="b">
        <v>1</v>
      </c>
      <c r="H161" s="57">
        <v>248405.87</v>
      </c>
    </row>
    <row r="162" spans="1:8" x14ac:dyDescent="0.25">
      <c r="A162" s="39">
        <v>202007</v>
      </c>
      <c r="B162" s="39">
        <v>56</v>
      </c>
      <c r="C162" s="40" t="s">
        <v>136</v>
      </c>
      <c r="D162" s="40" t="s">
        <v>96</v>
      </c>
      <c r="E162" s="40" t="s">
        <v>130</v>
      </c>
      <c r="F162" s="44" t="b">
        <v>0</v>
      </c>
      <c r="G162" s="44" t="b">
        <v>1</v>
      </c>
      <c r="H162" s="57">
        <v>10465.59</v>
      </c>
    </row>
    <row r="163" spans="1:8" x14ac:dyDescent="0.25">
      <c r="A163" s="39">
        <v>202007</v>
      </c>
      <c r="B163" s="39">
        <v>57</v>
      </c>
      <c r="C163" s="40" t="s">
        <v>146</v>
      </c>
      <c r="D163" s="40" t="s">
        <v>96</v>
      </c>
      <c r="E163" s="40" t="s">
        <v>130</v>
      </c>
      <c r="F163" s="44" t="b">
        <v>0</v>
      </c>
      <c r="G163" s="44" t="b">
        <v>1</v>
      </c>
      <c r="H163" s="57">
        <v>3856.35</v>
      </c>
    </row>
    <row r="164" spans="1:8" x14ac:dyDescent="0.25">
      <c r="A164" s="39">
        <v>202007</v>
      </c>
      <c r="B164" s="39">
        <v>57</v>
      </c>
      <c r="C164" s="40" t="s">
        <v>148</v>
      </c>
      <c r="D164" s="40" t="s">
        <v>96</v>
      </c>
      <c r="E164" s="40" t="s">
        <v>130</v>
      </c>
      <c r="F164" s="44" t="b">
        <v>0</v>
      </c>
      <c r="G164" s="44" t="b">
        <v>1</v>
      </c>
      <c r="H164" s="57">
        <v>2570.9</v>
      </c>
    </row>
    <row r="165" spans="1:8" x14ac:dyDescent="0.25">
      <c r="A165" s="39">
        <v>202007</v>
      </c>
      <c r="B165" s="39">
        <v>60</v>
      </c>
      <c r="C165" s="40" t="s">
        <v>149</v>
      </c>
      <c r="D165" s="40" t="s">
        <v>96</v>
      </c>
      <c r="E165" s="40" t="s">
        <v>130</v>
      </c>
      <c r="F165" s="44" t="b">
        <v>0</v>
      </c>
      <c r="G165" s="44" t="b">
        <v>1</v>
      </c>
      <c r="H165" s="57">
        <v>418.16</v>
      </c>
    </row>
    <row r="166" spans="1:8" x14ac:dyDescent="0.25">
      <c r="A166" s="39">
        <v>202007</v>
      </c>
      <c r="B166" s="39">
        <v>61</v>
      </c>
      <c r="C166" s="40" t="s">
        <v>235</v>
      </c>
      <c r="D166" s="40" t="s">
        <v>96</v>
      </c>
      <c r="E166" s="40" t="s">
        <v>130</v>
      </c>
      <c r="F166" s="44" t="b">
        <v>0</v>
      </c>
      <c r="G166" s="44" t="b">
        <v>1</v>
      </c>
      <c r="H166" s="57">
        <v>11087.02</v>
      </c>
    </row>
    <row r="167" spans="1:8" x14ac:dyDescent="0.25">
      <c r="A167" s="39">
        <v>202007</v>
      </c>
      <c r="B167" s="39">
        <v>62</v>
      </c>
      <c r="C167" s="40" t="s">
        <v>132</v>
      </c>
      <c r="D167" s="40" t="s">
        <v>96</v>
      </c>
      <c r="E167" s="40" t="s">
        <v>130</v>
      </c>
      <c r="F167" s="44" t="b">
        <v>0</v>
      </c>
      <c r="G167" s="44" t="b">
        <v>1</v>
      </c>
      <c r="H167" s="57">
        <v>43906.68</v>
      </c>
    </row>
    <row r="168" spans="1:8" x14ac:dyDescent="0.25">
      <c r="A168" s="39">
        <v>202007</v>
      </c>
      <c r="B168" s="39">
        <v>64</v>
      </c>
      <c r="C168" s="40" t="s">
        <v>133</v>
      </c>
      <c r="D168" s="40" t="s">
        <v>96</v>
      </c>
      <c r="E168" s="40" t="s">
        <v>130</v>
      </c>
      <c r="F168" s="44" t="b">
        <v>0</v>
      </c>
      <c r="G168" s="44" t="b">
        <v>1</v>
      </c>
      <c r="H168" s="57">
        <v>89904.16</v>
      </c>
    </row>
    <row r="169" spans="1:8" x14ac:dyDescent="0.25">
      <c r="A169" s="39">
        <v>202007</v>
      </c>
      <c r="B169" s="39">
        <v>66</v>
      </c>
      <c r="C169" s="40" t="s">
        <v>43</v>
      </c>
      <c r="D169" s="40" t="s">
        <v>96</v>
      </c>
      <c r="E169" s="40" t="s">
        <v>130</v>
      </c>
      <c r="F169" s="44" t="b">
        <v>0</v>
      </c>
      <c r="G169" s="44" t="b">
        <v>1</v>
      </c>
      <c r="H169" s="57">
        <v>9543.67</v>
      </c>
    </row>
    <row r="170" spans="1:8" x14ac:dyDescent="0.25">
      <c r="A170" s="39">
        <v>202007</v>
      </c>
      <c r="B170" s="39">
        <v>70</v>
      </c>
      <c r="C170" s="40" t="s">
        <v>147</v>
      </c>
      <c r="D170" s="40" t="s">
        <v>96</v>
      </c>
      <c r="E170" s="40" t="s">
        <v>130</v>
      </c>
      <c r="F170" s="44" t="b">
        <v>0</v>
      </c>
      <c r="G170" s="44" t="b">
        <v>1</v>
      </c>
      <c r="H170" s="57">
        <v>10581.62</v>
      </c>
    </row>
    <row r="171" spans="1:8" x14ac:dyDescent="0.25">
      <c r="A171" s="39">
        <v>202007</v>
      </c>
      <c r="B171" s="39">
        <v>70</v>
      </c>
      <c r="C171" s="40" t="s">
        <v>139</v>
      </c>
      <c r="D171" s="40" t="s">
        <v>96</v>
      </c>
      <c r="E171" s="40" t="s">
        <v>130</v>
      </c>
      <c r="F171" s="44" t="b">
        <v>0</v>
      </c>
      <c r="G171" s="44" t="b">
        <v>1</v>
      </c>
      <c r="H171" s="57">
        <v>505566.52</v>
      </c>
    </row>
    <row r="172" spans="1:8" x14ac:dyDescent="0.25">
      <c r="A172" s="39">
        <v>202007</v>
      </c>
      <c r="B172" s="39">
        <v>70</v>
      </c>
      <c r="C172" s="40" t="s">
        <v>140</v>
      </c>
      <c r="D172" s="40" t="s">
        <v>96</v>
      </c>
      <c r="E172" s="40" t="s">
        <v>130</v>
      </c>
      <c r="F172" s="44" t="b">
        <v>0</v>
      </c>
      <c r="G172" s="44" t="b">
        <v>1</v>
      </c>
      <c r="H172" s="57">
        <v>25866.19</v>
      </c>
    </row>
    <row r="173" spans="1:8" x14ac:dyDescent="0.25">
      <c r="A173" s="39">
        <v>202007</v>
      </c>
      <c r="B173" s="39">
        <v>73</v>
      </c>
      <c r="C173" s="40" t="s">
        <v>135</v>
      </c>
      <c r="D173" s="40" t="s">
        <v>96</v>
      </c>
      <c r="E173" s="40" t="s">
        <v>130</v>
      </c>
      <c r="F173" s="44" t="b">
        <v>0</v>
      </c>
      <c r="G173" s="44" t="b">
        <v>1</v>
      </c>
      <c r="H173" s="57">
        <v>2223.06</v>
      </c>
    </row>
    <row r="174" spans="1:8" x14ac:dyDescent="0.25">
      <c r="A174" s="39">
        <v>202007</v>
      </c>
      <c r="B174" s="39">
        <v>73</v>
      </c>
      <c r="C174" s="40" t="s">
        <v>138</v>
      </c>
      <c r="D174" s="40" t="s">
        <v>96</v>
      </c>
      <c r="E174" s="40" t="s">
        <v>130</v>
      </c>
      <c r="F174" s="44" t="b">
        <v>0</v>
      </c>
      <c r="G174" s="44" t="b">
        <v>1</v>
      </c>
      <c r="H174" s="57">
        <v>4446.12</v>
      </c>
    </row>
    <row r="175" spans="1:8" x14ac:dyDescent="0.25">
      <c r="A175" s="39">
        <v>202007</v>
      </c>
      <c r="B175" s="39">
        <v>73</v>
      </c>
      <c r="C175" s="40" t="s">
        <v>141</v>
      </c>
      <c r="D175" s="40" t="s">
        <v>96</v>
      </c>
      <c r="E175" s="40" t="s">
        <v>130</v>
      </c>
      <c r="F175" s="44" t="b">
        <v>0</v>
      </c>
      <c r="G175" s="44" t="b">
        <v>1</v>
      </c>
      <c r="H175" s="57">
        <v>12544.41</v>
      </c>
    </row>
    <row r="176" spans="1:8" x14ac:dyDescent="0.25">
      <c r="A176" s="39">
        <v>202007</v>
      </c>
      <c r="B176" s="39">
        <v>45</v>
      </c>
      <c r="C176" s="40" t="s">
        <v>137</v>
      </c>
      <c r="D176" s="40" t="s">
        <v>96</v>
      </c>
      <c r="E176" s="40" t="s">
        <v>129</v>
      </c>
      <c r="F176" s="44" t="b">
        <v>0</v>
      </c>
      <c r="G176" s="44" t="b">
        <v>1</v>
      </c>
      <c r="H176" s="57">
        <v>480205.15</v>
      </c>
    </row>
    <row r="177" spans="1:8" x14ac:dyDescent="0.25">
      <c r="A177" s="39">
        <v>202007</v>
      </c>
      <c r="B177" s="39">
        <v>47</v>
      </c>
      <c r="C177" s="40" t="s">
        <v>111</v>
      </c>
      <c r="D177" s="40" t="s">
        <v>96</v>
      </c>
      <c r="E177" s="40" t="s">
        <v>129</v>
      </c>
      <c r="F177" s="44" t="b">
        <v>0</v>
      </c>
      <c r="G177" s="44" t="b">
        <v>1</v>
      </c>
      <c r="H177" s="57">
        <v>112911.76</v>
      </c>
    </row>
    <row r="178" spans="1:8" x14ac:dyDescent="0.25">
      <c r="A178" s="39">
        <v>202007</v>
      </c>
      <c r="B178" s="39">
        <v>54</v>
      </c>
      <c r="C178" s="40" t="s">
        <v>150</v>
      </c>
      <c r="D178" s="40" t="s">
        <v>96</v>
      </c>
      <c r="E178" s="40" t="s">
        <v>129</v>
      </c>
      <c r="F178" s="44" t="b">
        <v>0</v>
      </c>
      <c r="G178" s="44" t="b">
        <v>1</v>
      </c>
      <c r="H178" s="57">
        <v>41525.5</v>
      </c>
    </row>
    <row r="179" spans="1:8" x14ac:dyDescent="0.25">
      <c r="A179" s="39">
        <v>202007</v>
      </c>
      <c r="B179" s="39">
        <v>56</v>
      </c>
      <c r="C179" s="40" t="s">
        <v>136</v>
      </c>
      <c r="D179" s="40" t="s">
        <v>96</v>
      </c>
      <c r="E179" s="40" t="s">
        <v>129</v>
      </c>
      <c r="F179" s="44" t="b">
        <v>0</v>
      </c>
      <c r="G179" s="44" t="b">
        <v>1</v>
      </c>
      <c r="H179" s="57">
        <v>5232.79</v>
      </c>
    </row>
    <row r="180" spans="1:8" x14ac:dyDescent="0.25">
      <c r="A180" s="39">
        <v>202007</v>
      </c>
      <c r="B180" s="39">
        <v>57</v>
      </c>
      <c r="C180" s="40" t="s">
        <v>146</v>
      </c>
      <c r="D180" s="40" t="s">
        <v>96</v>
      </c>
      <c r="E180" s="40" t="s">
        <v>129</v>
      </c>
      <c r="F180" s="44" t="b">
        <v>0</v>
      </c>
      <c r="G180" s="44" t="b">
        <v>1</v>
      </c>
      <c r="H180" s="57">
        <v>5784.53</v>
      </c>
    </row>
    <row r="181" spans="1:8" x14ac:dyDescent="0.25">
      <c r="A181" s="39">
        <v>202007</v>
      </c>
      <c r="B181" s="39">
        <v>57</v>
      </c>
      <c r="C181" s="40" t="s">
        <v>148</v>
      </c>
      <c r="D181" s="40" t="s">
        <v>96</v>
      </c>
      <c r="E181" s="40" t="s">
        <v>129</v>
      </c>
      <c r="F181" s="44" t="b">
        <v>0</v>
      </c>
      <c r="G181" s="44" t="b">
        <v>1</v>
      </c>
      <c r="H181" s="57">
        <v>3856.35</v>
      </c>
    </row>
    <row r="182" spans="1:8" x14ac:dyDescent="0.25">
      <c r="A182" s="39">
        <v>202007</v>
      </c>
      <c r="B182" s="39">
        <v>60</v>
      </c>
      <c r="C182" s="40" t="s">
        <v>149</v>
      </c>
      <c r="D182" s="40" t="s">
        <v>96</v>
      </c>
      <c r="E182" s="40" t="s">
        <v>129</v>
      </c>
      <c r="F182" s="44" t="b">
        <v>0</v>
      </c>
      <c r="G182" s="44" t="b">
        <v>1</v>
      </c>
      <c r="H182" s="57">
        <v>418.16</v>
      </c>
    </row>
    <row r="183" spans="1:8" x14ac:dyDescent="0.25">
      <c r="A183" s="39">
        <v>202007</v>
      </c>
      <c r="B183" s="39">
        <v>61</v>
      </c>
      <c r="C183" s="40" t="s">
        <v>235</v>
      </c>
      <c r="D183" s="40" t="s">
        <v>96</v>
      </c>
      <c r="E183" s="40" t="s">
        <v>129</v>
      </c>
      <c r="F183" s="44" t="b">
        <v>0</v>
      </c>
      <c r="G183" s="44" t="b">
        <v>1</v>
      </c>
      <c r="H183" s="57">
        <v>11087.02</v>
      </c>
    </row>
    <row r="184" spans="1:8" x14ac:dyDescent="0.25">
      <c r="A184" s="39">
        <v>202007</v>
      </c>
      <c r="B184" s="39">
        <v>62</v>
      </c>
      <c r="C184" s="40" t="s">
        <v>132</v>
      </c>
      <c r="D184" s="40" t="s">
        <v>96</v>
      </c>
      <c r="E184" s="40" t="s">
        <v>129</v>
      </c>
      <c r="F184" s="44" t="b">
        <v>0</v>
      </c>
      <c r="G184" s="44" t="b">
        <v>1</v>
      </c>
      <c r="H184" s="57">
        <v>285393.44</v>
      </c>
    </row>
    <row r="185" spans="1:8" x14ac:dyDescent="0.25">
      <c r="A185" s="39">
        <v>202007</v>
      </c>
      <c r="B185" s="39">
        <v>64</v>
      </c>
      <c r="C185" s="40" t="s">
        <v>133</v>
      </c>
      <c r="D185" s="40" t="s">
        <v>96</v>
      </c>
      <c r="E185" s="40" t="s">
        <v>129</v>
      </c>
      <c r="F185" s="44" t="b">
        <v>0</v>
      </c>
      <c r="G185" s="44" t="b">
        <v>1</v>
      </c>
      <c r="H185" s="57">
        <v>209776.38</v>
      </c>
    </row>
    <row r="186" spans="1:8" x14ac:dyDescent="0.25">
      <c r="A186" s="39">
        <v>202007</v>
      </c>
      <c r="B186" s="39">
        <v>66</v>
      </c>
      <c r="C186" s="40" t="s">
        <v>43</v>
      </c>
      <c r="D186" s="40" t="s">
        <v>96</v>
      </c>
      <c r="E186" s="40" t="s">
        <v>129</v>
      </c>
      <c r="F186" s="44" t="b">
        <v>0</v>
      </c>
      <c r="G186" s="44" t="b">
        <v>1</v>
      </c>
      <c r="H186" s="57">
        <v>9543.67</v>
      </c>
    </row>
    <row r="187" spans="1:8" x14ac:dyDescent="0.25">
      <c r="A187" s="39">
        <v>202007</v>
      </c>
      <c r="B187" s="39">
        <v>70</v>
      </c>
      <c r="C187" s="40" t="s">
        <v>147</v>
      </c>
      <c r="D187" s="40" t="s">
        <v>96</v>
      </c>
      <c r="E187" s="40" t="s">
        <v>129</v>
      </c>
      <c r="F187" s="44" t="b">
        <v>0</v>
      </c>
      <c r="G187" s="44" t="b">
        <v>1</v>
      </c>
      <c r="H187" s="57">
        <v>7054.42</v>
      </c>
    </row>
    <row r="188" spans="1:8" x14ac:dyDescent="0.25">
      <c r="A188" s="39">
        <v>202007</v>
      </c>
      <c r="B188" s="39">
        <v>70</v>
      </c>
      <c r="C188" s="40" t="s">
        <v>139</v>
      </c>
      <c r="D188" s="40" t="s">
        <v>96</v>
      </c>
      <c r="E188" s="40" t="s">
        <v>129</v>
      </c>
      <c r="F188" s="44" t="b">
        <v>0</v>
      </c>
      <c r="G188" s="44" t="b">
        <v>1</v>
      </c>
      <c r="H188" s="57">
        <v>707793.13</v>
      </c>
    </row>
    <row r="189" spans="1:8" x14ac:dyDescent="0.25">
      <c r="A189" s="39">
        <v>202007</v>
      </c>
      <c r="B189" s="39">
        <v>70</v>
      </c>
      <c r="C189" s="40" t="s">
        <v>140</v>
      </c>
      <c r="D189" s="40" t="s">
        <v>96</v>
      </c>
      <c r="E189" s="40" t="s">
        <v>129</v>
      </c>
      <c r="F189" s="44" t="b">
        <v>0</v>
      </c>
      <c r="G189" s="44" t="b">
        <v>1</v>
      </c>
      <c r="H189" s="57">
        <v>25866.19</v>
      </c>
    </row>
    <row r="190" spans="1:8" x14ac:dyDescent="0.25">
      <c r="A190" s="39">
        <v>202007</v>
      </c>
      <c r="B190" s="39">
        <v>73</v>
      </c>
      <c r="C190" s="40" t="s">
        <v>135</v>
      </c>
      <c r="D190" s="40" t="s">
        <v>96</v>
      </c>
      <c r="E190" s="40" t="s">
        <v>129</v>
      </c>
      <c r="F190" s="44" t="b">
        <v>0</v>
      </c>
      <c r="G190" s="44" t="b">
        <v>1</v>
      </c>
      <c r="H190" s="57">
        <v>2223.06</v>
      </c>
    </row>
    <row r="191" spans="1:8" x14ac:dyDescent="0.25">
      <c r="A191" s="39">
        <v>202007</v>
      </c>
      <c r="B191" s="39">
        <v>73</v>
      </c>
      <c r="C191" s="40" t="s">
        <v>138</v>
      </c>
      <c r="D191" s="40" t="s">
        <v>96</v>
      </c>
      <c r="E191" s="40" t="s">
        <v>129</v>
      </c>
      <c r="F191" s="44" t="b">
        <v>0</v>
      </c>
      <c r="G191" s="44" t="b">
        <v>1</v>
      </c>
      <c r="H191" s="57">
        <v>4446.12</v>
      </c>
    </row>
    <row r="192" spans="1:8" x14ac:dyDescent="0.25">
      <c r="A192" s="39">
        <v>202007</v>
      </c>
      <c r="B192" s="39">
        <v>73</v>
      </c>
      <c r="C192" s="40" t="s">
        <v>141</v>
      </c>
      <c r="D192" s="40" t="s">
        <v>96</v>
      </c>
      <c r="E192" s="40" t="s">
        <v>129</v>
      </c>
      <c r="F192" s="44" t="b">
        <v>0</v>
      </c>
      <c r="G192" s="44" t="b">
        <v>1</v>
      </c>
      <c r="H192" s="57">
        <v>12544.41</v>
      </c>
    </row>
    <row r="193" spans="1:8" x14ac:dyDescent="0.25">
      <c r="A193" s="39">
        <v>202007</v>
      </c>
      <c r="B193" s="39">
        <v>45</v>
      </c>
      <c r="C193" s="40" t="s">
        <v>137</v>
      </c>
      <c r="D193" s="40" t="s">
        <v>94</v>
      </c>
      <c r="E193" s="40" t="s">
        <v>124</v>
      </c>
      <c r="F193" s="44" t="b">
        <v>0</v>
      </c>
      <c r="G193" s="44" t="b">
        <v>1</v>
      </c>
      <c r="H193" s="57">
        <v>130965.04</v>
      </c>
    </row>
    <row r="194" spans="1:8" x14ac:dyDescent="0.25">
      <c r="A194" s="39">
        <v>202007</v>
      </c>
      <c r="B194" s="39">
        <v>47</v>
      </c>
      <c r="C194" s="40" t="s">
        <v>111</v>
      </c>
      <c r="D194" s="40" t="s">
        <v>94</v>
      </c>
      <c r="E194" s="40" t="s">
        <v>124</v>
      </c>
      <c r="F194" s="44" t="b">
        <v>0</v>
      </c>
      <c r="G194" s="44" t="b">
        <v>1</v>
      </c>
      <c r="H194" s="57">
        <v>90329.41</v>
      </c>
    </row>
    <row r="195" spans="1:8" x14ac:dyDescent="0.25">
      <c r="A195" s="39">
        <v>202007</v>
      </c>
      <c r="B195" s="39">
        <v>56</v>
      </c>
      <c r="C195" s="40" t="s">
        <v>136</v>
      </c>
      <c r="D195" s="40" t="s">
        <v>94</v>
      </c>
      <c r="E195" s="40" t="s">
        <v>124</v>
      </c>
      <c r="F195" s="44" t="b">
        <v>0</v>
      </c>
      <c r="G195" s="44" t="b">
        <v>1</v>
      </c>
      <c r="H195" s="57">
        <v>4360.66</v>
      </c>
    </row>
    <row r="196" spans="1:8" x14ac:dyDescent="0.25">
      <c r="A196" s="39">
        <v>202007</v>
      </c>
      <c r="B196" s="39">
        <v>57</v>
      </c>
      <c r="C196" s="40" t="s">
        <v>146</v>
      </c>
      <c r="D196" s="40" t="s">
        <v>94</v>
      </c>
      <c r="E196" s="40" t="s">
        <v>124</v>
      </c>
      <c r="F196" s="44" t="b">
        <v>0</v>
      </c>
      <c r="G196" s="44" t="b">
        <v>1</v>
      </c>
      <c r="H196" s="57">
        <v>3856.35</v>
      </c>
    </row>
    <row r="197" spans="1:8" x14ac:dyDescent="0.25">
      <c r="A197" s="39">
        <v>202007</v>
      </c>
      <c r="B197" s="39">
        <v>57</v>
      </c>
      <c r="C197" s="40" t="s">
        <v>148</v>
      </c>
      <c r="D197" s="40" t="s">
        <v>94</v>
      </c>
      <c r="E197" s="40" t="s">
        <v>124</v>
      </c>
      <c r="F197" s="44" t="b">
        <v>0</v>
      </c>
      <c r="G197" s="44" t="b">
        <v>1</v>
      </c>
      <c r="H197" s="57">
        <v>2570.9</v>
      </c>
    </row>
    <row r="198" spans="1:8" x14ac:dyDescent="0.25">
      <c r="A198" s="39">
        <v>202007</v>
      </c>
      <c r="B198" s="39">
        <v>60</v>
      </c>
      <c r="C198" s="40" t="s">
        <v>149</v>
      </c>
      <c r="D198" s="40" t="s">
        <v>94</v>
      </c>
      <c r="E198" s="40" t="s">
        <v>124</v>
      </c>
      <c r="F198" s="44" t="b">
        <v>0</v>
      </c>
      <c r="G198" s="44" t="b">
        <v>1</v>
      </c>
      <c r="H198" s="57">
        <v>418.16</v>
      </c>
    </row>
    <row r="199" spans="1:8" x14ac:dyDescent="0.25">
      <c r="A199" s="39">
        <v>202007</v>
      </c>
      <c r="B199" s="39">
        <v>61</v>
      </c>
      <c r="C199" s="40" t="s">
        <v>235</v>
      </c>
      <c r="D199" s="40" t="s">
        <v>94</v>
      </c>
      <c r="E199" s="40" t="s">
        <v>124</v>
      </c>
      <c r="F199" s="44" t="b">
        <v>0</v>
      </c>
      <c r="G199" s="44" t="b">
        <v>1</v>
      </c>
      <c r="H199" s="57">
        <v>11087.02</v>
      </c>
    </row>
    <row r="200" spans="1:8" x14ac:dyDescent="0.25">
      <c r="A200" s="39">
        <v>202007</v>
      </c>
      <c r="B200" s="39">
        <v>62</v>
      </c>
      <c r="C200" s="40" t="s">
        <v>132</v>
      </c>
      <c r="D200" s="40" t="s">
        <v>94</v>
      </c>
      <c r="E200" s="40" t="s">
        <v>124</v>
      </c>
      <c r="F200" s="44" t="b">
        <v>0</v>
      </c>
      <c r="G200" s="44" t="b">
        <v>1</v>
      </c>
      <c r="H200" s="57">
        <v>87813.37</v>
      </c>
    </row>
    <row r="201" spans="1:8" x14ac:dyDescent="0.25">
      <c r="A201" s="39">
        <v>202007</v>
      </c>
      <c r="B201" s="39">
        <v>64</v>
      </c>
      <c r="C201" s="40" t="s">
        <v>133</v>
      </c>
      <c r="D201" s="40" t="s">
        <v>94</v>
      </c>
      <c r="E201" s="40" t="s">
        <v>124</v>
      </c>
      <c r="F201" s="44" t="b">
        <v>0</v>
      </c>
      <c r="G201" s="44" t="b">
        <v>1</v>
      </c>
      <c r="H201" s="57">
        <v>59936.11</v>
      </c>
    </row>
    <row r="202" spans="1:8" x14ac:dyDescent="0.25">
      <c r="A202" s="39">
        <v>202007</v>
      </c>
      <c r="B202" s="39">
        <v>66</v>
      </c>
      <c r="C202" s="40" t="s">
        <v>43</v>
      </c>
      <c r="D202" s="40" t="s">
        <v>94</v>
      </c>
      <c r="E202" s="40" t="s">
        <v>124</v>
      </c>
      <c r="F202" s="44" t="b">
        <v>0</v>
      </c>
      <c r="G202" s="44" t="b">
        <v>1</v>
      </c>
      <c r="H202" s="57">
        <v>4771.83</v>
      </c>
    </row>
    <row r="203" spans="1:8" x14ac:dyDescent="0.25">
      <c r="A203" s="39">
        <v>202007</v>
      </c>
      <c r="B203" s="39">
        <v>70</v>
      </c>
      <c r="C203" s="40" t="s">
        <v>147</v>
      </c>
      <c r="D203" s="40" t="s">
        <v>94</v>
      </c>
      <c r="E203" s="40" t="s">
        <v>124</v>
      </c>
      <c r="F203" s="44" t="b">
        <v>0</v>
      </c>
      <c r="G203" s="44" t="b">
        <v>1</v>
      </c>
      <c r="H203" s="57">
        <v>14108.83</v>
      </c>
    </row>
    <row r="204" spans="1:8" x14ac:dyDescent="0.25">
      <c r="A204" s="39">
        <v>202007</v>
      </c>
      <c r="B204" s="39">
        <v>70</v>
      </c>
      <c r="C204" s="40" t="s">
        <v>139</v>
      </c>
      <c r="D204" s="40" t="s">
        <v>94</v>
      </c>
      <c r="E204" s="40" t="s">
        <v>124</v>
      </c>
      <c r="F204" s="44" t="b">
        <v>0</v>
      </c>
      <c r="G204" s="44" t="b">
        <v>1</v>
      </c>
      <c r="H204" s="57">
        <v>404453.22</v>
      </c>
    </row>
    <row r="205" spans="1:8" x14ac:dyDescent="0.25">
      <c r="A205" s="39">
        <v>202007</v>
      </c>
      <c r="B205" s="39">
        <v>70</v>
      </c>
      <c r="C205" s="40" t="s">
        <v>140</v>
      </c>
      <c r="D205" s="40" t="s">
        <v>94</v>
      </c>
      <c r="E205" s="40" t="s">
        <v>124</v>
      </c>
      <c r="F205" s="44" t="b">
        <v>0</v>
      </c>
      <c r="G205" s="44" t="b">
        <v>1</v>
      </c>
      <c r="H205" s="57">
        <v>51732.39</v>
      </c>
    </row>
    <row r="206" spans="1:8" x14ac:dyDescent="0.25">
      <c r="A206" s="39">
        <v>202007</v>
      </c>
      <c r="B206" s="39">
        <v>56</v>
      </c>
      <c r="C206" s="40" t="s">
        <v>136</v>
      </c>
      <c r="D206" s="40" t="s">
        <v>94</v>
      </c>
      <c r="E206" s="40" t="s">
        <v>102</v>
      </c>
      <c r="F206" s="44" t="b">
        <v>0</v>
      </c>
      <c r="G206" s="44" t="b">
        <v>1</v>
      </c>
      <c r="H206" s="57">
        <v>1744.26</v>
      </c>
    </row>
    <row r="207" spans="1:8" x14ac:dyDescent="0.25">
      <c r="A207" s="39">
        <v>202007</v>
      </c>
      <c r="B207" s="39">
        <v>60</v>
      </c>
      <c r="C207" s="40" t="s">
        <v>149</v>
      </c>
      <c r="D207" s="40" t="s">
        <v>94</v>
      </c>
      <c r="E207" s="40" t="s">
        <v>102</v>
      </c>
      <c r="F207" s="44" t="b">
        <v>0</v>
      </c>
      <c r="G207" s="44" t="b">
        <v>1</v>
      </c>
      <c r="H207" s="57">
        <v>418.16</v>
      </c>
    </row>
    <row r="208" spans="1:8" x14ac:dyDescent="0.25">
      <c r="A208" s="39">
        <v>202007</v>
      </c>
      <c r="B208" s="39">
        <v>66</v>
      </c>
      <c r="C208" s="40" t="s">
        <v>43</v>
      </c>
      <c r="D208" s="40" t="s">
        <v>94</v>
      </c>
      <c r="E208" s="40" t="s">
        <v>102</v>
      </c>
      <c r="F208" s="44" t="b">
        <v>0</v>
      </c>
      <c r="G208" s="44" t="b">
        <v>1</v>
      </c>
      <c r="H208" s="57">
        <v>9543.67</v>
      </c>
    </row>
    <row r="209" spans="1:8" x14ac:dyDescent="0.25">
      <c r="A209" s="39">
        <v>202007</v>
      </c>
      <c r="B209" s="39">
        <v>70</v>
      </c>
      <c r="C209" s="40" t="s">
        <v>147</v>
      </c>
      <c r="D209" s="40" t="s">
        <v>94</v>
      </c>
      <c r="E209" s="40" t="s">
        <v>102</v>
      </c>
      <c r="F209" s="44" t="b">
        <v>0</v>
      </c>
      <c r="G209" s="44" t="b">
        <v>1</v>
      </c>
      <c r="H209" s="57">
        <v>10581.62</v>
      </c>
    </row>
    <row r="210" spans="1:8" x14ac:dyDescent="0.25">
      <c r="A210" s="39">
        <v>202007</v>
      </c>
      <c r="B210" s="39">
        <v>70</v>
      </c>
      <c r="C210" s="40" t="s">
        <v>139</v>
      </c>
      <c r="D210" s="40" t="s">
        <v>94</v>
      </c>
      <c r="E210" s="40" t="s">
        <v>102</v>
      </c>
      <c r="F210" s="44" t="b">
        <v>0</v>
      </c>
      <c r="G210" s="44" t="b">
        <v>1</v>
      </c>
      <c r="H210" s="57">
        <v>404453.22</v>
      </c>
    </row>
    <row r="211" spans="1:8" x14ac:dyDescent="0.25">
      <c r="A211" s="39">
        <v>202007</v>
      </c>
      <c r="B211" s="39">
        <v>70</v>
      </c>
      <c r="C211" s="40" t="s">
        <v>140</v>
      </c>
      <c r="D211" s="40" t="s">
        <v>94</v>
      </c>
      <c r="E211" s="40" t="s">
        <v>102</v>
      </c>
      <c r="F211" s="44" t="b">
        <v>0</v>
      </c>
      <c r="G211" s="44" t="b">
        <v>1</v>
      </c>
      <c r="H211" s="57">
        <v>77598.58</v>
      </c>
    </row>
    <row r="212" spans="1:8" x14ac:dyDescent="0.25">
      <c r="A212" s="39">
        <v>202007</v>
      </c>
      <c r="B212" s="39">
        <v>73</v>
      </c>
      <c r="C212" s="40" t="s">
        <v>135</v>
      </c>
      <c r="D212" s="40" t="s">
        <v>94</v>
      </c>
      <c r="E212" s="40" t="s">
        <v>102</v>
      </c>
      <c r="F212" s="44" t="b">
        <v>0</v>
      </c>
      <c r="G212" s="44" t="b">
        <v>1</v>
      </c>
      <c r="H212" s="57">
        <v>1111.53</v>
      </c>
    </row>
    <row r="213" spans="1:8" x14ac:dyDescent="0.25">
      <c r="A213" s="39">
        <v>202007</v>
      </c>
      <c r="B213" s="39">
        <v>73</v>
      </c>
      <c r="C213" s="40" t="s">
        <v>138</v>
      </c>
      <c r="D213" s="40" t="s">
        <v>94</v>
      </c>
      <c r="E213" s="40" t="s">
        <v>102</v>
      </c>
      <c r="F213" s="44" t="b">
        <v>0</v>
      </c>
      <c r="G213" s="44" t="b">
        <v>1</v>
      </c>
      <c r="H213" s="57">
        <v>4446.12</v>
      </c>
    </row>
    <row r="214" spans="1:8" x14ac:dyDescent="0.25">
      <c r="A214" s="39">
        <v>202007</v>
      </c>
      <c r="B214" s="39">
        <v>73</v>
      </c>
      <c r="C214" s="40" t="s">
        <v>141</v>
      </c>
      <c r="D214" s="40" t="s">
        <v>94</v>
      </c>
      <c r="E214" s="40" t="s">
        <v>102</v>
      </c>
      <c r="F214" s="44" t="b">
        <v>0</v>
      </c>
      <c r="G214" s="44" t="b">
        <v>1</v>
      </c>
      <c r="H214" s="57">
        <v>12544.41</v>
      </c>
    </row>
    <row r="215" spans="1:8" x14ac:dyDescent="0.25">
      <c r="A215" s="39">
        <v>202007</v>
      </c>
      <c r="B215" s="39">
        <v>45</v>
      </c>
      <c r="C215" s="40" t="s">
        <v>137</v>
      </c>
      <c r="D215" s="40" t="s">
        <v>94</v>
      </c>
      <c r="E215" s="40" t="s">
        <v>127</v>
      </c>
      <c r="F215" s="44" t="b">
        <v>0</v>
      </c>
      <c r="G215" s="44" t="b">
        <v>1</v>
      </c>
      <c r="H215" s="57">
        <v>218275.07</v>
      </c>
    </row>
    <row r="216" spans="1:8" x14ac:dyDescent="0.25">
      <c r="A216" s="39">
        <v>202007</v>
      </c>
      <c r="B216" s="39">
        <v>47</v>
      </c>
      <c r="C216" s="40" t="s">
        <v>111</v>
      </c>
      <c r="D216" s="40" t="s">
        <v>94</v>
      </c>
      <c r="E216" s="40" t="s">
        <v>127</v>
      </c>
      <c r="F216" s="44" t="b">
        <v>0</v>
      </c>
      <c r="G216" s="44" t="b">
        <v>1</v>
      </c>
      <c r="H216" s="57">
        <v>158076.46</v>
      </c>
    </row>
    <row r="217" spans="1:8" x14ac:dyDescent="0.25">
      <c r="A217" s="39">
        <v>202007</v>
      </c>
      <c r="B217" s="39">
        <v>54</v>
      </c>
      <c r="C217" s="40" t="s">
        <v>150</v>
      </c>
      <c r="D217" s="40" t="s">
        <v>94</v>
      </c>
      <c r="E217" s="40" t="s">
        <v>127</v>
      </c>
      <c r="F217" s="44" t="b">
        <v>0</v>
      </c>
      <c r="G217" s="44" t="b">
        <v>1</v>
      </c>
      <c r="H217" s="57">
        <v>13841.83</v>
      </c>
    </row>
    <row r="218" spans="1:8" x14ac:dyDescent="0.25">
      <c r="A218" s="39">
        <v>202007</v>
      </c>
      <c r="B218" s="39">
        <v>56</v>
      </c>
      <c r="C218" s="40" t="s">
        <v>136</v>
      </c>
      <c r="D218" s="40" t="s">
        <v>94</v>
      </c>
      <c r="E218" s="40" t="s">
        <v>127</v>
      </c>
      <c r="F218" s="44" t="b">
        <v>0</v>
      </c>
      <c r="G218" s="44" t="b">
        <v>1</v>
      </c>
      <c r="H218" s="57">
        <v>3488.53</v>
      </c>
    </row>
    <row r="219" spans="1:8" x14ac:dyDescent="0.25">
      <c r="A219" s="39">
        <v>202007</v>
      </c>
      <c r="B219" s="39">
        <v>57</v>
      </c>
      <c r="C219" s="40" t="s">
        <v>146</v>
      </c>
      <c r="D219" s="40" t="s">
        <v>94</v>
      </c>
      <c r="E219" s="40" t="s">
        <v>127</v>
      </c>
      <c r="F219" s="44" t="b">
        <v>0</v>
      </c>
      <c r="G219" s="44" t="b">
        <v>1</v>
      </c>
      <c r="H219" s="57">
        <v>8676.7999999999993</v>
      </c>
    </row>
    <row r="220" spans="1:8" x14ac:dyDescent="0.25">
      <c r="A220" s="39">
        <v>202007</v>
      </c>
      <c r="B220" s="39">
        <v>57</v>
      </c>
      <c r="C220" s="40" t="s">
        <v>148</v>
      </c>
      <c r="D220" s="40" t="s">
        <v>94</v>
      </c>
      <c r="E220" s="40" t="s">
        <v>127</v>
      </c>
      <c r="F220" s="44" t="b">
        <v>0</v>
      </c>
      <c r="G220" s="44" t="b">
        <v>1</v>
      </c>
      <c r="H220" s="57">
        <v>5784.53</v>
      </c>
    </row>
    <row r="221" spans="1:8" x14ac:dyDescent="0.25">
      <c r="A221" s="39">
        <v>202007</v>
      </c>
      <c r="B221" s="39">
        <v>60</v>
      </c>
      <c r="C221" s="40" t="s">
        <v>149</v>
      </c>
      <c r="D221" s="40" t="s">
        <v>94</v>
      </c>
      <c r="E221" s="40" t="s">
        <v>127</v>
      </c>
      <c r="F221" s="44" t="b">
        <v>0</v>
      </c>
      <c r="G221" s="44" t="b">
        <v>1</v>
      </c>
      <c r="H221" s="57">
        <v>2090.79</v>
      </c>
    </row>
    <row r="222" spans="1:8" x14ac:dyDescent="0.25">
      <c r="A222" s="39">
        <v>202007</v>
      </c>
      <c r="B222" s="39">
        <v>61</v>
      </c>
      <c r="C222" s="40" t="s">
        <v>235</v>
      </c>
      <c r="D222" s="40" t="s">
        <v>94</v>
      </c>
      <c r="E222" s="40" t="s">
        <v>127</v>
      </c>
      <c r="F222" s="44" t="b">
        <v>0</v>
      </c>
      <c r="G222" s="44" t="b">
        <v>1</v>
      </c>
      <c r="H222" s="57">
        <v>11087.02</v>
      </c>
    </row>
    <row r="223" spans="1:8" x14ac:dyDescent="0.25">
      <c r="A223" s="39">
        <v>202007</v>
      </c>
      <c r="B223" s="39">
        <v>62</v>
      </c>
      <c r="C223" s="40" t="s">
        <v>132</v>
      </c>
      <c r="D223" s="40" t="s">
        <v>94</v>
      </c>
      <c r="E223" s="40" t="s">
        <v>127</v>
      </c>
      <c r="F223" s="44" t="b">
        <v>0</v>
      </c>
      <c r="G223" s="44" t="b">
        <v>1</v>
      </c>
      <c r="H223" s="57">
        <v>109766.71</v>
      </c>
    </row>
    <row r="224" spans="1:8" x14ac:dyDescent="0.25">
      <c r="A224" s="39">
        <v>202007</v>
      </c>
      <c r="B224" s="39">
        <v>64</v>
      </c>
      <c r="C224" s="40" t="s">
        <v>133</v>
      </c>
      <c r="D224" s="40" t="s">
        <v>94</v>
      </c>
      <c r="E224" s="40" t="s">
        <v>127</v>
      </c>
      <c r="F224" s="44" t="b">
        <v>0</v>
      </c>
      <c r="G224" s="44" t="b">
        <v>1</v>
      </c>
      <c r="H224" s="57">
        <v>89904.16</v>
      </c>
    </row>
    <row r="225" spans="1:8" x14ac:dyDescent="0.25">
      <c r="A225" s="39">
        <v>202007</v>
      </c>
      <c r="B225" s="39">
        <v>66</v>
      </c>
      <c r="C225" s="40" t="s">
        <v>43</v>
      </c>
      <c r="D225" s="40" t="s">
        <v>94</v>
      </c>
      <c r="E225" s="40" t="s">
        <v>127</v>
      </c>
      <c r="F225" s="44" t="b">
        <v>0</v>
      </c>
      <c r="G225" s="44" t="b">
        <v>1</v>
      </c>
      <c r="H225" s="57">
        <v>66805.67</v>
      </c>
    </row>
    <row r="226" spans="1:8" x14ac:dyDescent="0.25">
      <c r="A226" s="39">
        <v>202007</v>
      </c>
      <c r="B226" s="39">
        <v>70</v>
      </c>
      <c r="C226" s="40" t="s">
        <v>147</v>
      </c>
      <c r="D226" s="40" t="s">
        <v>94</v>
      </c>
      <c r="E226" s="40" t="s">
        <v>127</v>
      </c>
      <c r="F226" s="44" t="b">
        <v>0</v>
      </c>
      <c r="G226" s="44" t="b">
        <v>1</v>
      </c>
      <c r="H226" s="57">
        <v>24690.46</v>
      </c>
    </row>
    <row r="227" spans="1:8" x14ac:dyDescent="0.25">
      <c r="A227" s="39">
        <v>202007</v>
      </c>
      <c r="B227" s="39">
        <v>70</v>
      </c>
      <c r="C227" s="40" t="s">
        <v>139</v>
      </c>
      <c r="D227" s="40" t="s">
        <v>94</v>
      </c>
      <c r="E227" s="40" t="s">
        <v>127</v>
      </c>
      <c r="F227" s="44" t="b">
        <v>0</v>
      </c>
      <c r="G227" s="44" t="b">
        <v>1</v>
      </c>
      <c r="H227" s="57">
        <v>202226.61</v>
      </c>
    </row>
    <row r="228" spans="1:8" x14ac:dyDescent="0.25">
      <c r="A228" s="39">
        <v>202007</v>
      </c>
      <c r="B228" s="39">
        <v>70</v>
      </c>
      <c r="C228" s="40" t="s">
        <v>140</v>
      </c>
      <c r="D228" s="40" t="s">
        <v>94</v>
      </c>
      <c r="E228" s="40" t="s">
        <v>127</v>
      </c>
      <c r="F228" s="44" t="b">
        <v>0</v>
      </c>
      <c r="G228" s="44" t="b">
        <v>1</v>
      </c>
      <c r="H228" s="57">
        <v>51732.39</v>
      </c>
    </row>
    <row r="229" spans="1:8" x14ac:dyDescent="0.25">
      <c r="A229" s="39">
        <v>202007</v>
      </c>
      <c r="B229" s="39">
        <v>73</v>
      </c>
      <c r="C229" s="40" t="s">
        <v>135</v>
      </c>
      <c r="D229" s="40" t="s">
        <v>94</v>
      </c>
      <c r="E229" s="40" t="s">
        <v>127</v>
      </c>
      <c r="F229" s="44" t="b">
        <v>0</v>
      </c>
      <c r="G229" s="44" t="b">
        <v>1</v>
      </c>
      <c r="H229" s="57">
        <v>4446.12</v>
      </c>
    </row>
    <row r="230" spans="1:8" x14ac:dyDescent="0.25">
      <c r="A230" s="39">
        <v>202007</v>
      </c>
      <c r="B230" s="39">
        <v>73</v>
      </c>
      <c r="C230" s="40" t="s">
        <v>138</v>
      </c>
      <c r="D230" s="40" t="s">
        <v>94</v>
      </c>
      <c r="E230" s="40" t="s">
        <v>127</v>
      </c>
      <c r="F230" s="44" t="b">
        <v>0</v>
      </c>
      <c r="G230" s="44" t="b">
        <v>1</v>
      </c>
      <c r="H230" s="57">
        <v>2223.06</v>
      </c>
    </row>
    <row r="231" spans="1:8" x14ac:dyDescent="0.25">
      <c r="A231" s="39">
        <v>202007</v>
      </c>
      <c r="B231" s="39">
        <v>73</v>
      </c>
      <c r="C231" s="40" t="s">
        <v>141</v>
      </c>
      <c r="D231" s="40" t="s">
        <v>94</v>
      </c>
      <c r="E231" s="40" t="s">
        <v>127</v>
      </c>
      <c r="F231" s="44" t="b">
        <v>0</v>
      </c>
      <c r="G231" s="44" t="b">
        <v>1</v>
      </c>
      <c r="H231" s="57">
        <v>100355.28</v>
      </c>
    </row>
    <row r="232" spans="1:8" x14ac:dyDescent="0.25">
      <c r="A232" s="39">
        <v>202007</v>
      </c>
      <c r="B232" s="39">
        <v>45</v>
      </c>
      <c r="C232" s="40" t="s">
        <v>137</v>
      </c>
      <c r="D232" s="40" t="s">
        <v>112</v>
      </c>
      <c r="E232" s="40" t="s">
        <v>113</v>
      </c>
      <c r="F232" s="44" t="b">
        <v>0</v>
      </c>
      <c r="G232" s="44" t="b">
        <v>1</v>
      </c>
      <c r="H232" s="57">
        <v>218275.07</v>
      </c>
    </row>
    <row r="233" spans="1:8" x14ac:dyDescent="0.25">
      <c r="A233" s="39">
        <v>202007</v>
      </c>
      <c r="B233" s="39">
        <v>47</v>
      </c>
      <c r="C233" s="40" t="s">
        <v>111</v>
      </c>
      <c r="D233" s="40" t="s">
        <v>112</v>
      </c>
      <c r="E233" s="40" t="s">
        <v>113</v>
      </c>
      <c r="F233" s="44" t="b">
        <v>0</v>
      </c>
      <c r="G233" s="44" t="b">
        <v>1</v>
      </c>
      <c r="H233" s="57">
        <v>248405.87</v>
      </c>
    </row>
    <row r="234" spans="1:8" x14ac:dyDescent="0.25">
      <c r="A234" s="39">
        <v>202007</v>
      </c>
      <c r="B234" s="39">
        <v>56</v>
      </c>
      <c r="C234" s="40" t="s">
        <v>136</v>
      </c>
      <c r="D234" s="40" t="s">
        <v>112</v>
      </c>
      <c r="E234" s="40" t="s">
        <v>113</v>
      </c>
      <c r="F234" s="44" t="b">
        <v>0</v>
      </c>
      <c r="G234" s="44" t="b">
        <v>1</v>
      </c>
      <c r="H234" s="57">
        <v>2616.4</v>
      </c>
    </row>
    <row r="235" spans="1:8" x14ac:dyDescent="0.25">
      <c r="A235" s="39">
        <v>202007</v>
      </c>
      <c r="B235" s="39">
        <v>57</v>
      </c>
      <c r="C235" s="40" t="s">
        <v>146</v>
      </c>
      <c r="D235" s="40" t="s">
        <v>112</v>
      </c>
      <c r="E235" s="40" t="s">
        <v>113</v>
      </c>
      <c r="F235" s="44" t="b">
        <v>0</v>
      </c>
      <c r="G235" s="44" t="b">
        <v>1</v>
      </c>
      <c r="H235" s="57">
        <v>2892.27</v>
      </c>
    </row>
    <row r="236" spans="1:8" x14ac:dyDescent="0.25">
      <c r="A236" s="39">
        <v>202007</v>
      </c>
      <c r="B236" s="39">
        <v>57</v>
      </c>
      <c r="C236" s="40" t="s">
        <v>148</v>
      </c>
      <c r="D236" s="40" t="s">
        <v>112</v>
      </c>
      <c r="E236" s="40" t="s">
        <v>113</v>
      </c>
      <c r="F236" s="44" t="b">
        <v>0</v>
      </c>
      <c r="G236" s="44" t="b">
        <v>1</v>
      </c>
      <c r="H236" s="57">
        <v>1928.18</v>
      </c>
    </row>
    <row r="237" spans="1:8" x14ac:dyDescent="0.25">
      <c r="A237" s="39">
        <v>202007</v>
      </c>
      <c r="B237" s="39">
        <v>60</v>
      </c>
      <c r="C237" s="40" t="s">
        <v>149</v>
      </c>
      <c r="D237" s="40" t="s">
        <v>112</v>
      </c>
      <c r="E237" s="40" t="s">
        <v>113</v>
      </c>
      <c r="F237" s="44" t="b">
        <v>0</v>
      </c>
      <c r="G237" s="44" t="b">
        <v>1</v>
      </c>
      <c r="H237" s="57">
        <v>418.16</v>
      </c>
    </row>
    <row r="238" spans="1:8" x14ac:dyDescent="0.25">
      <c r="A238" s="39">
        <v>202007</v>
      </c>
      <c r="B238" s="39">
        <v>61</v>
      </c>
      <c r="C238" s="40" t="s">
        <v>235</v>
      </c>
      <c r="D238" s="40" t="s">
        <v>112</v>
      </c>
      <c r="E238" s="40" t="s">
        <v>113</v>
      </c>
      <c r="F238" s="44" t="b">
        <v>0</v>
      </c>
      <c r="G238" s="44" t="b">
        <v>1</v>
      </c>
      <c r="H238" s="57">
        <v>14782.69</v>
      </c>
    </row>
    <row r="239" spans="1:8" x14ac:dyDescent="0.25">
      <c r="A239" s="39">
        <v>202007</v>
      </c>
      <c r="B239" s="39">
        <v>62</v>
      </c>
      <c r="C239" s="40" t="s">
        <v>132</v>
      </c>
      <c r="D239" s="40" t="s">
        <v>112</v>
      </c>
      <c r="E239" s="40" t="s">
        <v>113</v>
      </c>
      <c r="F239" s="44" t="b">
        <v>0</v>
      </c>
      <c r="G239" s="44" t="b">
        <v>1</v>
      </c>
      <c r="H239" s="57">
        <v>109766.71</v>
      </c>
    </row>
    <row r="240" spans="1:8" x14ac:dyDescent="0.25">
      <c r="A240" s="39">
        <v>202007</v>
      </c>
      <c r="B240" s="39">
        <v>64</v>
      </c>
      <c r="C240" s="40" t="s">
        <v>133</v>
      </c>
      <c r="D240" s="40" t="s">
        <v>112</v>
      </c>
      <c r="E240" s="40" t="s">
        <v>113</v>
      </c>
      <c r="F240" s="44" t="b">
        <v>0</v>
      </c>
      <c r="G240" s="44" t="b">
        <v>1</v>
      </c>
      <c r="H240" s="57">
        <v>134856.24</v>
      </c>
    </row>
    <row r="241" spans="1:8" x14ac:dyDescent="0.25">
      <c r="A241" s="39">
        <v>202007</v>
      </c>
      <c r="B241" s="39">
        <v>66</v>
      </c>
      <c r="C241" s="40" t="s">
        <v>43</v>
      </c>
      <c r="D241" s="40" t="s">
        <v>112</v>
      </c>
      <c r="E241" s="40" t="s">
        <v>113</v>
      </c>
      <c r="F241" s="44" t="b">
        <v>0</v>
      </c>
      <c r="G241" s="44" t="b">
        <v>1</v>
      </c>
      <c r="H241" s="57">
        <v>9543.67</v>
      </c>
    </row>
    <row r="242" spans="1:8" x14ac:dyDescent="0.25">
      <c r="A242" s="39">
        <v>202007</v>
      </c>
      <c r="B242" s="39">
        <v>70</v>
      </c>
      <c r="C242" s="40" t="s">
        <v>147</v>
      </c>
      <c r="D242" s="40" t="s">
        <v>112</v>
      </c>
      <c r="E242" s="40" t="s">
        <v>113</v>
      </c>
      <c r="F242" s="44" t="b">
        <v>0</v>
      </c>
      <c r="G242" s="44" t="b">
        <v>1</v>
      </c>
      <c r="H242" s="57">
        <v>17636.04</v>
      </c>
    </row>
    <row r="243" spans="1:8" x14ac:dyDescent="0.25">
      <c r="A243" s="39">
        <v>202007</v>
      </c>
      <c r="B243" s="39">
        <v>70</v>
      </c>
      <c r="C243" s="40" t="s">
        <v>139</v>
      </c>
      <c r="D243" s="40" t="s">
        <v>112</v>
      </c>
      <c r="E243" s="40" t="s">
        <v>113</v>
      </c>
      <c r="F243" s="44" t="b">
        <v>0</v>
      </c>
      <c r="G243" s="44" t="b">
        <v>1</v>
      </c>
      <c r="H243" s="57">
        <v>303339.90999999997</v>
      </c>
    </row>
    <row r="244" spans="1:8" x14ac:dyDescent="0.25">
      <c r="A244" s="39">
        <v>202007</v>
      </c>
      <c r="B244" s="39">
        <v>70</v>
      </c>
      <c r="C244" s="40" t="s">
        <v>140</v>
      </c>
      <c r="D244" s="40" t="s">
        <v>112</v>
      </c>
      <c r="E244" s="40" t="s">
        <v>113</v>
      </c>
      <c r="F244" s="44" t="b">
        <v>0</v>
      </c>
      <c r="G244" s="44" t="b">
        <v>1</v>
      </c>
      <c r="H244" s="57">
        <v>193996.46</v>
      </c>
    </row>
    <row r="245" spans="1:8" x14ac:dyDescent="0.25">
      <c r="A245" s="39">
        <v>202007</v>
      </c>
      <c r="B245" s="39">
        <v>73</v>
      </c>
      <c r="C245" s="40" t="s">
        <v>135</v>
      </c>
      <c r="D245" s="40" t="s">
        <v>112</v>
      </c>
      <c r="E245" s="40" t="s">
        <v>113</v>
      </c>
      <c r="F245" s="44" t="b">
        <v>0</v>
      </c>
      <c r="G245" s="44" t="b">
        <v>1</v>
      </c>
      <c r="H245" s="57">
        <v>5557.65</v>
      </c>
    </row>
    <row r="246" spans="1:8" x14ac:dyDescent="0.25">
      <c r="A246" s="39">
        <v>202007</v>
      </c>
      <c r="B246" s="39">
        <v>73</v>
      </c>
      <c r="C246" s="40" t="s">
        <v>138</v>
      </c>
      <c r="D246" s="40" t="s">
        <v>112</v>
      </c>
      <c r="E246" s="40" t="s">
        <v>113</v>
      </c>
      <c r="F246" s="44" t="b">
        <v>0</v>
      </c>
      <c r="G246" s="44" t="b">
        <v>1</v>
      </c>
      <c r="H246" s="57">
        <v>11115.3</v>
      </c>
    </row>
    <row r="247" spans="1:8" x14ac:dyDescent="0.25">
      <c r="A247" s="39">
        <v>202007</v>
      </c>
      <c r="B247" s="39">
        <v>73</v>
      </c>
      <c r="C247" s="40" t="s">
        <v>141</v>
      </c>
      <c r="D247" s="40" t="s">
        <v>112</v>
      </c>
      <c r="E247" s="40" t="s">
        <v>113</v>
      </c>
      <c r="F247" s="44" t="b">
        <v>0</v>
      </c>
      <c r="G247" s="44" t="b">
        <v>1</v>
      </c>
      <c r="H247" s="57">
        <v>100355.28</v>
      </c>
    </row>
    <row r="248" spans="1:8" x14ac:dyDescent="0.25">
      <c r="A248" s="39">
        <v>202007</v>
      </c>
      <c r="B248" s="39">
        <v>45</v>
      </c>
      <c r="C248" s="40" t="s">
        <v>137</v>
      </c>
      <c r="D248" s="40" t="s">
        <v>112</v>
      </c>
      <c r="E248" s="40" t="s">
        <v>134</v>
      </c>
      <c r="F248" s="44" t="b">
        <v>0</v>
      </c>
      <c r="G248" s="44" t="b">
        <v>1</v>
      </c>
      <c r="H248" s="57">
        <v>392895.12</v>
      </c>
    </row>
    <row r="249" spans="1:8" x14ac:dyDescent="0.25">
      <c r="A249" s="39">
        <v>202007</v>
      </c>
      <c r="B249" s="39">
        <v>47</v>
      </c>
      <c r="C249" s="40" t="s">
        <v>111</v>
      </c>
      <c r="D249" s="40" t="s">
        <v>112</v>
      </c>
      <c r="E249" s="40" t="s">
        <v>134</v>
      </c>
      <c r="F249" s="44" t="b">
        <v>0</v>
      </c>
      <c r="G249" s="44" t="b">
        <v>1</v>
      </c>
      <c r="H249" s="57">
        <v>203241.17</v>
      </c>
    </row>
    <row r="250" spans="1:8" x14ac:dyDescent="0.25">
      <c r="A250" s="39">
        <v>202007</v>
      </c>
      <c r="B250" s="39">
        <v>54</v>
      </c>
      <c r="C250" s="40" t="s">
        <v>150</v>
      </c>
      <c r="D250" s="40" t="s">
        <v>112</v>
      </c>
      <c r="E250" s="40" t="s">
        <v>134</v>
      </c>
      <c r="F250" s="44" t="b">
        <v>0</v>
      </c>
      <c r="G250" s="44" t="b">
        <v>1</v>
      </c>
      <c r="H250" s="57">
        <v>55367.33</v>
      </c>
    </row>
    <row r="251" spans="1:8" x14ac:dyDescent="0.25">
      <c r="A251" s="39">
        <v>202007</v>
      </c>
      <c r="B251" s="39">
        <v>56</v>
      </c>
      <c r="C251" s="40" t="s">
        <v>136</v>
      </c>
      <c r="D251" s="40" t="s">
        <v>112</v>
      </c>
      <c r="E251" s="40" t="s">
        <v>134</v>
      </c>
      <c r="F251" s="44" t="b">
        <v>0</v>
      </c>
      <c r="G251" s="44" t="b">
        <v>1</v>
      </c>
      <c r="H251" s="57">
        <v>2616.4</v>
      </c>
    </row>
    <row r="252" spans="1:8" x14ac:dyDescent="0.25">
      <c r="A252" s="39">
        <v>202007</v>
      </c>
      <c r="B252" s="39">
        <v>57</v>
      </c>
      <c r="C252" s="40" t="s">
        <v>146</v>
      </c>
      <c r="D252" s="40" t="s">
        <v>112</v>
      </c>
      <c r="E252" s="40" t="s">
        <v>134</v>
      </c>
      <c r="F252" s="44" t="b">
        <v>0</v>
      </c>
      <c r="G252" s="44" t="b">
        <v>1</v>
      </c>
      <c r="H252" s="57">
        <v>2892.27</v>
      </c>
    </row>
    <row r="253" spans="1:8" x14ac:dyDescent="0.25">
      <c r="A253" s="39">
        <v>202007</v>
      </c>
      <c r="B253" s="39">
        <v>57</v>
      </c>
      <c r="C253" s="40" t="s">
        <v>148</v>
      </c>
      <c r="D253" s="40" t="s">
        <v>112</v>
      </c>
      <c r="E253" s="40" t="s">
        <v>134</v>
      </c>
      <c r="F253" s="44" t="b">
        <v>0</v>
      </c>
      <c r="G253" s="44" t="b">
        <v>1</v>
      </c>
      <c r="H253" s="57">
        <v>1928.18</v>
      </c>
    </row>
    <row r="254" spans="1:8" x14ac:dyDescent="0.25">
      <c r="A254" s="39">
        <v>202007</v>
      </c>
      <c r="B254" s="39">
        <v>60</v>
      </c>
      <c r="C254" s="40" t="s">
        <v>149</v>
      </c>
      <c r="D254" s="40" t="s">
        <v>112</v>
      </c>
      <c r="E254" s="40" t="s">
        <v>134</v>
      </c>
      <c r="F254" s="44" t="b">
        <v>0</v>
      </c>
      <c r="G254" s="44" t="b">
        <v>1</v>
      </c>
      <c r="H254" s="57">
        <v>209.08</v>
      </c>
    </row>
    <row r="255" spans="1:8" x14ac:dyDescent="0.25">
      <c r="A255" s="39">
        <v>202007</v>
      </c>
      <c r="B255" s="39">
        <v>61</v>
      </c>
      <c r="C255" s="40" t="s">
        <v>235</v>
      </c>
      <c r="D255" s="40" t="s">
        <v>112</v>
      </c>
      <c r="E255" s="40" t="s">
        <v>134</v>
      </c>
      <c r="F255" s="44" t="b">
        <v>0</v>
      </c>
      <c r="G255" s="44" t="b">
        <v>1</v>
      </c>
      <c r="H255" s="57">
        <v>14782.69</v>
      </c>
    </row>
    <row r="256" spans="1:8" x14ac:dyDescent="0.25">
      <c r="A256" s="39">
        <v>202007</v>
      </c>
      <c r="B256" s="39">
        <v>62</v>
      </c>
      <c r="C256" s="40" t="s">
        <v>132</v>
      </c>
      <c r="D256" s="40" t="s">
        <v>112</v>
      </c>
      <c r="E256" s="40" t="s">
        <v>134</v>
      </c>
      <c r="F256" s="44" t="b">
        <v>0</v>
      </c>
      <c r="G256" s="44" t="b">
        <v>1</v>
      </c>
      <c r="H256" s="57">
        <v>109766.71</v>
      </c>
    </row>
    <row r="257" spans="1:8" x14ac:dyDescent="0.25">
      <c r="A257" s="39">
        <v>202007</v>
      </c>
      <c r="B257" s="39">
        <v>64</v>
      </c>
      <c r="C257" s="40" t="s">
        <v>133</v>
      </c>
      <c r="D257" s="40" t="s">
        <v>112</v>
      </c>
      <c r="E257" s="40" t="s">
        <v>134</v>
      </c>
      <c r="F257" s="44" t="b">
        <v>0</v>
      </c>
      <c r="G257" s="44" t="b">
        <v>1</v>
      </c>
      <c r="H257" s="57">
        <v>59936.11</v>
      </c>
    </row>
    <row r="258" spans="1:8" x14ac:dyDescent="0.25">
      <c r="A258" s="39">
        <v>202007</v>
      </c>
      <c r="B258" s="39">
        <v>66</v>
      </c>
      <c r="C258" s="40" t="s">
        <v>43</v>
      </c>
      <c r="D258" s="40" t="s">
        <v>112</v>
      </c>
      <c r="E258" s="40" t="s">
        <v>134</v>
      </c>
      <c r="F258" s="44" t="b">
        <v>0</v>
      </c>
      <c r="G258" s="44" t="b">
        <v>1</v>
      </c>
      <c r="H258" s="57">
        <v>9543.67</v>
      </c>
    </row>
    <row r="259" spans="1:8" x14ac:dyDescent="0.25">
      <c r="A259" s="39">
        <v>202007</v>
      </c>
      <c r="B259" s="39">
        <v>70</v>
      </c>
      <c r="C259" s="40" t="s">
        <v>147</v>
      </c>
      <c r="D259" s="40" t="s">
        <v>112</v>
      </c>
      <c r="E259" s="40" t="s">
        <v>134</v>
      </c>
      <c r="F259" s="44" t="b">
        <v>0</v>
      </c>
      <c r="G259" s="44" t="b">
        <v>1</v>
      </c>
      <c r="H259" s="57">
        <v>3527.21</v>
      </c>
    </row>
    <row r="260" spans="1:8" x14ac:dyDescent="0.25">
      <c r="A260" s="39">
        <v>202007</v>
      </c>
      <c r="B260" s="39">
        <v>70</v>
      </c>
      <c r="C260" s="40" t="s">
        <v>139</v>
      </c>
      <c r="D260" s="40" t="s">
        <v>112</v>
      </c>
      <c r="E260" s="40" t="s">
        <v>134</v>
      </c>
      <c r="F260" s="44" t="b">
        <v>0</v>
      </c>
      <c r="G260" s="44" t="b">
        <v>1</v>
      </c>
      <c r="H260" s="57">
        <v>1011133.05</v>
      </c>
    </row>
    <row r="261" spans="1:8" x14ac:dyDescent="0.25">
      <c r="A261" s="39">
        <v>202007</v>
      </c>
      <c r="B261" s="39">
        <v>70</v>
      </c>
      <c r="C261" s="40" t="s">
        <v>140</v>
      </c>
      <c r="D261" s="40" t="s">
        <v>112</v>
      </c>
      <c r="E261" s="40" t="s">
        <v>134</v>
      </c>
      <c r="F261" s="44" t="b">
        <v>0</v>
      </c>
      <c r="G261" s="44" t="b">
        <v>1</v>
      </c>
      <c r="H261" s="57">
        <v>51732.39</v>
      </c>
    </row>
    <row r="262" spans="1:8" x14ac:dyDescent="0.25">
      <c r="A262" s="39">
        <v>202007</v>
      </c>
      <c r="B262" s="39">
        <v>73</v>
      </c>
      <c r="C262" s="40" t="s">
        <v>135</v>
      </c>
      <c r="D262" s="40" t="s">
        <v>112</v>
      </c>
      <c r="E262" s="40" t="s">
        <v>134</v>
      </c>
      <c r="F262" s="44" t="b">
        <v>0</v>
      </c>
      <c r="G262" s="44" t="b">
        <v>1</v>
      </c>
      <c r="H262" s="57">
        <v>2223.06</v>
      </c>
    </row>
    <row r="263" spans="1:8" x14ac:dyDescent="0.25">
      <c r="A263" s="39">
        <v>202007</v>
      </c>
      <c r="B263" s="39">
        <v>73</v>
      </c>
      <c r="C263" s="40" t="s">
        <v>138</v>
      </c>
      <c r="D263" s="40" t="s">
        <v>112</v>
      </c>
      <c r="E263" s="40" t="s">
        <v>134</v>
      </c>
      <c r="F263" s="44" t="b">
        <v>0</v>
      </c>
      <c r="G263" s="44" t="b">
        <v>1</v>
      </c>
      <c r="H263" s="57">
        <v>2223.06</v>
      </c>
    </row>
    <row r="264" spans="1:8" x14ac:dyDescent="0.25">
      <c r="A264" s="39">
        <v>202007</v>
      </c>
      <c r="B264" s="39">
        <v>73</v>
      </c>
      <c r="C264" s="40" t="s">
        <v>141</v>
      </c>
      <c r="D264" s="40" t="s">
        <v>112</v>
      </c>
      <c r="E264" s="40" t="s">
        <v>134</v>
      </c>
      <c r="F264" s="44" t="b">
        <v>0</v>
      </c>
      <c r="G264" s="44" t="b">
        <v>1</v>
      </c>
      <c r="H264" s="57">
        <v>25088.82</v>
      </c>
    </row>
    <row r="265" spans="1:8" x14ac:dyDescent="0.25">
      <c r="A265" s="39">
        <v>202007</v>
      </c>
      <c r="B265" s="39">
        <v>66</v>
      </c>
      <c r="C265" s="40" t="s">
        <v>43</v>
      </c>
      <c r="D265" s="40" t="s">
        <v>96</v>
      </c>
      <c r="E265" s="40" t="s">
        <v>103</v>
      </c>
      <c r="F265" s="44" t="b">
        <v>0</v>
      </c>
      <c r="G265" s="44" t="b">
        <v>1</v>
      </c>
      <c r="H265" s="57">
        <v>14315.5</v>
      </c>
    </row>
    <row r="266" spans="1:8" x14ac:dyDescent="0.25">
      <c r="A266" s="39">
        <v>202007</v>
      </c>
      <c r="B266" s="39">
        <v>70</v>
      </c>
      <c r="C266" s="40" t="s">
        <v>147</v>
      </c>
      <c r="D266" s="40" t="s">
        <v>96</v>
      </c>
      <c r="E266" s="40" t="s">
        <v>103</v>
      </c>
      <c r="F266" s="44" t="b">
        <v>0</v>
      </c>
      <c r="G266" s="44" t="b">
        <v>1</v>
      </c>
      <c r="H266" s="57">
        <v>3527.21</v>
      </c>
    </row>
    <row r="267" spans="1:8" x14ac:dyDescent="0.25">
      <c r="A267" s="39">
        <v>202007</v>
      </c>
      <c r="B267" s="39">
        <v>70</v>
      </c>
      <c r="C267" s="40" t="s">
        <v>139</v>
      </c>
      <c r="D267" s="40" t="s">
        <v>96</v>
      </c>
      <c r="E267" s="40" t="s">
        <v>103</v>
      </c>
      <c r="F267" s="44" t="b">
        <v>0</v>
      </c>
      <c r="G267" s="44" t="b">
        <v>1</v>
      </c>
      <c r="H267" s="57">
        <v>101113.3</v>
      </c>
    </row>
    <row r="268" spans="1:8" x14ac:dyDescent="0.25">
      <c r="A268" s="39">
        <v>202007</v>
      </c>
      <c r="B268" s="39">
        <v>70</v>
      </c>
      <c r="C268" s="40" t="s">
        <v>140</v>
      </c>
      <c r="D268" s="40" t="s">
        <v>96</v>
      </c>
      <c r="E268" s="40" t="s">
        <v>103</v>
      </c>
      <c r="F268" s="44" t="b">
        <v>0</v>
      </c>
      <c r="G268" s="44" t="b">
        <v>1</v>
      </c>
      <c r="H268" s="57">
        <v>12933.1</v>
      </c>
    </row>
    <row r="269" spans="1:8" x14ac:dyDescent="0.25">
      <c r="A269" s="39">
        <v>202007</v>
      </c>
      <c r="B269" s="39">
        <v>73</v>
      </c>
      <c r="C269" s="40" t="s">
        <v>135</v>
      </c>
      <c r="D269" s="40" t="s">
        <v>96</v>
      </c>
      <c r="E269" s="40" t="s">
        <v>103</v>
      </c>
      <c r="F269" s="44" t="b">
        <v>0</v>
      </c>
      <c r="G269" s="44" t="b">
        <v>1</v>
      </c>
      <c r="H269" s="57">
        <v>1111.53</v>
      </c>
    </row>
    <row r="270" spans="1:8" x14ac:dyDescent="0.25">
      <c r="A270" s="39">
        <v>202007</v>
      </c>
      <c r="B270" s="39">
        <v>73</v>
      </c>
      <c r="C270" s="40" t="s">
        <v>138</v>
      </c>
      <c r="D270" s="40" t="s">
        <v>96</v>
      </c>
      <c r="E270" s="40" t="s">
        <v>103</v>
      </c>
      <c r="F270" s="44" t="b">
        <v>0</v>
      </c>
      <c r="G270" s="44" t="b">
        <v>1</v>
      </c>
      <c r="H270" s="57">
        <v>2223.06</v>
      </c>
    </row>
    <row r="271" spans="1:8" x14ac:dyDescent="0.25">
      <c r="A271" s="39">
        <v>202007</v>
      </c>
      <c r="B271" s="39">
        <v>73</v>
      </c>
      <c r="C271" s="40" t="s">
        <v>141</v>
      </c>
      <c r="D271" s="40" t="s">
        <v>96</v>
      </c>
      <c r="E271" s="40" t="s">
        <v>103</v>
      </c>
      <c r="F271" s="44" t="b">
        <v>0</v>
      </c>
      <c r="G271" s="44" t="b">
        <v>1</v>
      </c>
      <c r="H271" s="57">
        <v>12544.41</v>
      </c>
    </row>
    <row r="272" spans="1:8" x14ac:dyDescent="0.25">
      <c r="A272" s="39">
        <v>202007</v>
      </c>
      <c r="B272" s="39">
        <v>45</v>
      </c>
      <c r="C272" s="40" t="s">
        <v>137</v>
      </c>
      <c r="D272" s="40" t="s">
        <v>96</v>
      </c>
      <c r="E272" s="40" t="s">
        <v>97</v>
      </c>
      <c r="F272" s="44" t="b">
        <v>0</v>
      </c>
      <c r="G272" s="44" t="b">
        <v>1</v>
      </c>
      <c r="H272" s="57">
        <v>87310.03</v>
      </c>
    </row>
    <row r="273" spans="1:8" x14ac:dyDescent="0.25">
      <c r="A273" s="39">
        <v>202007</v>
      </c>
      <c r="B273" s="39">
        <v>47</v>
      </c>
      <c r="C273" s="40" t="s">
        <v>111</v>
      </c>
      <c r="D273" s="40" t="s">
        <v>96</v>
      </c>
      <c r="E273" s="40" t="s">
        <v>97</v>
      </c>
      <c r="F273" s="44" t="b">
        <v>0</v>
      </c>
      <c r="G273" s="44" t="b">
        <v>1</v>
      </c>
      <c r="H273" s="57">
        <v>67747.06</v>
      </c>
    </row>
    <row r="274" spans="1:8" x14ac:dyDescent="0.25">
      <c r="A274" s="39">
        <v>202007</v>
      </c>
      <c r="B274" s="39">
        <v>56</v>
      </c>
      <c r="C274" s="40" t="s">
        <v>136</v>
      </c>
      <c r="D274" s="40" t="s">
        <v>96</v>
      </c>
      <c r="E274" s="40" t="s">
        <v>97</v>
      </c>
      <c r="F274" s="44" t="b">
        <v>0</v>
      </c>
      <c r="G274" s="44" t="b">
        <v>1</v>
      </c>
      <c r="H274" s="57">
        <v>1744.26</v>
      </c>
    </row>
    <row r="275" spans="1:8" x14ac:dyDescent="0.25">
      <c r="A275" s="39">
        <v>202007</v>
      </c>
      <c r="B275" s="39">
        <v>57</v>
      </c>
      <c r="C275" s="40" t="s">
        <v>146</v>
      </c>
      <c r="D275" s="40" t="s">
        <v>96</v>
      </c>
      <c r="E275" s="40" t="s">
        <v>97</v>
      </c>
      <c r="F275" s="44" t="b">
        <v>0</v>
      </c>
      <c r="G275" s="44" t="b">
        <v>1</v>
      </c>
      <c r="H275" s="57">
        <v>3856.35</v>
      </c>
    </row>
    <row r="276" spans="1:8" x14ac:dyDescent="0.25">
      <c r="A276" s="39">
        <v>202007</v>
      </c>
      <c r="B276" s="39">
        <v>57</v>
      </c>
      <c r="C276" s="40" t="s">
        <v>148</v>
      </c>
      <c r="D276" s="40" t="s">
        <v>96</v>
      </c>
      <c r="E276" s="40" t="s">
        <v>97</v>
      </c>
      <c r="F276" s="44" t="b">
        <v>0</v>
      </c>
      <c r="G276" s="44" t="b">
        <v>1</v>
      </c>
      <c r="H276" s="57">
        <v>2570.9</v>
      </c>
    </row>
    <row r="277" spans="1:8" x14ac:dyDescent="0.25">
      <c r="A277" s="39">
        <v>202007</v>
      </c>
      <c r="B277" s="39">
        <v>60</v>
      </c>
      <c r="C277" s="40" t="s">
        <v>149</v>
      </c>
      <c r="D277" s="40" t="s">
        <v>96</v>
      </c>
      <c r="E277" s="40" t="s">
        <v>97</v>
      </c>
      <c r="F277" s="44" t="b">
        <v>0</v>
      </c>
      <c r="G277" s="44" t="b">
        <v>1</v>
      </c>
      <c r="H277" s="57">
        <v>209.08</v>
      </c>
    </row>
    <row r="278" spans="1:8" x14ac:dyDescent="0.25">
      <c r="A278" s="39">
        <v>202007</v>
      </c>
      <c r="B278" s="39">
        <v>61</v>
      </c>
      <c r="C278" s="40" t="s">
        <v>235</v>
      </c>
      <c r="D278" s="40" t="s">
        <v>96</v>
      </c>
      <c r="E278" s="40" t="s">
        <v>97</v>
      </c>
      <c r="F278" s="44" t="b">
        <v>0</v>
      </c>
      <c r="G278" s="44" t="b">
        <v>1</v>
      </c>
      <c r="H278" s="57">
        <v>9239.18</v>
      </c>
    </row>
    <row r="279" spans="1:8" x14ac:dyDescent="0.25">
      <c r="A279" s="39">
        <v>202007</v>
      </c>
      <c r="B279" s="39">
        <v>62</v>
      </c>
      <c r="C279" s="40" t="s">
        <v>132</v>
      </c>
      <c r="D279" s="40" t="s">
        <v>96</v>
      </c>
      <c r="E279" s="40" t="s">
        <v>97</v>
      </c>
      <c r="F279" s="44" t="b">
        <v>0</v>
      </c>
      <c r="G279" s="44" t="b">
        <v>1</v>
      </c>
      <c r="H279" s="57">
        <v>21953.34</v>
      </c>
    </row>
    <row r="280" spans="1:8" x14ac:dyDescent="0.25">
      <c r="A280" s="39">
        <v>202007</v>
      </c>
      <c r="B280" s="39">
        <v>64</v>
      </c>
      <c r="C280" s="40" t="s">
        <v>133</v>
      </c>
      <c r="D280" s="40" t="s">
        <v>96</v>
      </c>
      <c r="E280" s="40" t="s">
        <v>97</v>
      </c>
      <c r="F280" s="44" t="b">
        <v>0</v>
      </c>
      <c r="G280" s="44" t="b">
        <v>1</v>
      </c>
      <c r="H280" s="57">
        <v>14984.03</v>
      </c>
    </row>
    <row r="281" spans="1:8" x14ac:dyDescent="0.25">
      <c r="A281" s="39">
        <v>202007</v>
      </c>
      <c r="B281" s="39">
        <v>66</v>
      </c>
      <c r="C281" s="40" t="s">
        <v>43</v>
      </c>
      <c r="D281" s="40" t="s">
        <v>96</v>
      </c>
      <c r="E281" s="40" t="s">
        <v>97</v>
      </c>
      <c r="F281" s="44" t="b">
        <v>0</v>
      </c>
      <c r="G281" s="44" t="b">
        <v>1</v>
      </c>
      <c r="H281" s="57">
        <v>4771.83</v>
      </c>
    </row>
    <row r="282" spans="1:8" x14ac:dyDescent="0.25">
      <c r="A282" s="39">
        <v>202007</v>
      </c>
      <c r="B282" s="39">
        <v>70</v>
      </c>
      <c r="C282" s="40" t="s">
        <v>147</v>
      </c>
      <c r="D282" s="40" t="s">
        <v>96</v>
      </c>
      <c r="E282" s="40" t="s">
        <v>97</v>
      </c>
      <c r="F282" s="44" t="b">
        <v>0</v>
      </c>
      <c r="G282" s="44" t="b">
        <v>1</v>
      </c>
      <c r="H282" s="57">
        <v>3527.21</v>
      </c>
    </row>
    <row r="283" spans="1:8" x14ac:dyDescent="0.25">
      <c r="A283" s="39">
        <v>202007</v>
      </c>
      <c r="B283" s="39">
        <v>70</v>
      </c>
      <c r="C283" s="40" t="s">
        <v>139</v>
      </c>
      <c r="D283" s="40" t="s">
        <v>96</v>
      </c>
      <c r="E283" s="40" t="s">
        <v>97</v>
      </c>
      <c r="F283" s="44" t="b">
        <v>0</v>
      </c>
      <c r="G283" s="44" t="b">
        <v>1</v>
      </c>
      <c r="H283" s="57">
        <v>101113.3</v>
      </c>
    </row>
    <row r="284" spans="1:8" x14ac:dyDescent="0.25">
      <c r="A284" s="39">
        <v>202007</v>
      </c>
      <c r="B284" s="39">
        <v>70</v>
      </c>
      <c r="C284" s="40" t="s">
        <v>140</v>
      </c>
      <c r="D284" s="40" t="s">
        <v>96</v>
      </c>
      <c r="E284" s="40" t="s">
        <v>97</v>
      </c>
      <c r="F284" s="44" t="b">
        <v>0</v>
      </c>
      <c r="G284" s="44" t="b">
        <v>1</v>
      </c>
      <c r="H284" s="57">
        <v>25866.19</v>
      </c>
    </row>
    <row r="285" spans="1:8" x14ac:dyDescent="0.25">
      <c r="A285" s="39">
        <v>202007</v>
      </c>
      <c r="B285" s="39">
        <v>73</v>
      </c>
      <c r="C285" s="40" t="s">
        <v>135</v>
      </c>
      <c r="D285" s="40" t="s">
        <v>96</v>
      </c>
      <c r="E285" s="40" t="s">
        <v>97</v>
      </c>
      <c r="F285" s="44" t="b">
        <v>0</v>
      </c>
      <c r="G285" s="44" t="b">
        <v>1</v>
      </c>
      <c r="H285" s="57">
        <v>2223.06</v>
      </c>
    </row>
    <row r="286" spans="1:8" x14ac:dyDescent="0.25">
      <c r="A286" s="39">
        <v>202007</v>
      </c>
      <c r="B286" s="39">
        <v>73</v>
      </c>
      <c r="C286" s="40" t="s">
        <v>138</v>
      </c>
      <c r="D286" s="40" t="s">
        <v>96</v>
      </c>
      <c r="E286" s="40" t="s">
        <v>97</v>
      </c>
      <c r="F286" s="44" t="b">
        <v>0</v>
      </c>
      <c r="G286" s="44" t="b">
        <v>1</v>
      </c>
      <c r="H286" s="57">
        <v>4446.12</v>
      </c>
    </row>
    <row r="287" spans="1:8" x14ac:dyDescent="0.25">
      <c r="A287" s="39">
        <v>202007</v>
      </c>
      <c r="B287" s="39">
        <v>73</v>
      </c>
      <c r="C287" s="40" t="s">
        <v>141</v>
      </c>
      <c r="D287" s="40" t="s">
        <v>96</v>
      </c>
      <c r="E287" s="40" t="s">
        <v>97</v>
      </c>
      <c r="F287" s="44" t="b">
        <v>0</v>
      </c>
      <c r="G287" s="44" t="b">
        <v>1</v>
      </c>
      <c r="H287" s="57">
        <v>12544.41</v>
      </c>
    </row>
  </sheetData>
  <conditionalFormatting sqref="F6:G287">
    <cfRule type="cellIs" dxfId="124" priority="1" operator="equal">
      <formula>FALSE</formula>
    </cfRule>
    <cfRule type="cellIs" dxfId="123" priority="2" operator="equal">
      <formula>TRUE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3459E-E292-4533-AB67-1730B1E41CE9}">
  <sheetPr codeName="Planilha16"/>
  <dimension ref="A1:M445"/>
  <sheetViews>
    <sheetView showGridLines="0" workbookViewId="0">
      <pane ySplit="5" topLeftCell="A6" activePane="bottomLeft" state="frozen"/>
      <selection activeCell="Q30" sqref="Q30"/>
      <selection pane="bottomLeft" activeCell="F26" sqref="F26"/>
    </sheetView>
  </sheetViews>
  <sheetFormatPr defaultRowHeight="15" x14ac:dyDescent="0.25"/>
  <cols>
    <col min="1" max="1" width="19" style="1" bestFit="1" customWidth="1"/>
    <col min="2" max="2" width="16.140625" style="1" bestFit="1" customWidth="1"/>
    <col min="3" max="3" width="18.5703125" style="1" bestFit="1" customWidth="1"/>
    <col min="4" max="4" width="27.5703125" style="1" bestFit="1" customWidth="1"/>
    <col min="5" max="5" width="15.140625" style="1" bestFit="1" customWidth="1"/>
    <col min="6" max="6" width="16.5703125" style="1" bestFit="1" customWidth="1"/>
    <col min="7" max="7" width="14.140625" style="1" bestFit="1" customWidth="1"/>
    <col min="8" max="8" width="34.7109375" style="1" bestFit="1" customWidth="1"/>
    <col min="9" max="9" width="36.28515625" style="1" bestFit="1" customWidth="1"/>
    <col min="10" max="10" width="12.5703125" style="1" bestFit="1" customWidth="1"/>
    <col min="11" max="11" width="12.140625" style="1" bestFit="1" customWidth="1"/>
    <col min="12" max="13" width="14.42578125" style="1" bestFit="1" customWidth="1"/>
    <col min="14" max="16384" width="9.140625" style="1"/>
  </cols>
  <sheetData>
    <row r="1" spans="1:13" ht="18.75" x14ac:dyDescent="0.25">
      <c r="A1" s="8" t="s">
        <v>242</v>
      </c>
    </row>
    <row r="5" spans="1:13" x14ac:dyDescent="0.25">
      <c r="A5" s="1" t="s">
        <v>104</v>
      </c>
      <c r="B5" s="1" t="s">
        <v>105</v>
      </c>
      <c r="C5" s="1" t="s">
        <v>106</v>
      </c>
      <c r="D5" s="1" t="s">
        <v>107</v>
      </c>
      <c r="E5" s="1" t="s">
        <v>108</v>
      </c>
      <c r="F5" s="1" t="s">
        <v>109</v>
      </c>
      <c r="G5" s="1" t="s">
        <v>156</v>
      </c>
      <c r="H5" s="1" t="s">
        <v>110</v>
      </c>
      <c r="I5" s="1" t="s">
        <v>170</v>
      </c>
      <c r="J5" s="1" t="s">
        <v>236</v>
      </c>
      <c r="K5" s="1" t="s">
        <v>237</v>
      </c>
      <c r="L5" s="1" t="s">
        <v>238</v>
      </c>
      <c r="M5" s="1" t="s">
        <v>239</v>
      </c>
    </row>
    <row r="6" spans="1:13" x14ac:dyDescent="0.25">
      <c r="A6" s="41">
        <v>202007</v>
      </c>
      <c r="B6" s="41">
        <v>70</v>
      </c>
      <c r="C6" s="42" t="s">
        <v>139</v>
      </c>
      <c r="D6" s="58">
        <v>5816630000152</v>
      </c>
      <c r="E6" s="46" t="b">
        <v>0</v>
      </c>
      <c r="F6" s="46" t="b">
        <v>0</v>
      </c>
      <c r="G6" s="46" t="b">
        <v>1</v>
      </c>
      <c r="H6" s="42" t="s">
        <v>96</v>
      </c>
      <c r="I6" s="42" t="s">
        <v>130</v>
      </c>
      <c r="J6" s="21">
        <v>26</v>
      </c>
      <c r="K6" s="21">
        <v>130</v>
      </c>
      <c r="L6" s="10">
        <v>26492.959999999999</v>
      </c>
      <c r="M6" s="10">
        <v>26492.959999999999</v>
      </c>
    </row>
    <row r="7" spans="1:13" x14ac:dyDescent="0.25">
      <c r="A7" s="41">
        <v>202007</v>
      </c>
      <c r="B7" s="41">
        <v>70</v>
      </c>
      <c r="C7" s="42" t="s">
        <v>139</v>
      </c>
      <c r="D7" s="58">
        <v>74031865000151</v>
      </c>
      <c r="E7" s="46" t="b">
        <v>0</v>
      </c>
      <c r="F7" s="46" t="b">
        <v>0</v>
      </c>
      <c r="G7" s="46" t="b">
        <v>1</v>
      </c>
      <c r="H7" s="42" t="s">
        <v>96</v>
      </c>
      <c r="I7" s="42" t="s">
        <v>117</v>
      </c>
      <c r="J7" s="21">
        <v>500</v>
      </c>
      <c r="K7" s="21">
        <v>2500</v>
      </c>
      <c r="L7" s="10">
        <v>477500</v>
      </c>
      <c r="M7" s="10">
        <v>477500</v>
      </c>
    </row>
    <row r="8" spans="1:13" x14ac:dyDescent="0.25">
      <c r="A8" s="41">
        <v>202007</v>
      </c>
      <c r="B8" s="41">
        <v>66</v>
      </c>
      <c r="C8" s="42" t="s">
        <v>43</v>
      </c>
      <c r="D8" s="58">
        <v>5268490000125</v>
      </c>
      <c r="E8" s="46" t="b">
        <v>0</v>
      </c>
      <c r="F8" s="46" t="b">
        <v>1</v>
      </c>
      <c r="G8" s="46" t="b">
        <v>1</v>
      </c>
      <c r="H8" s="42" t="s">
        <v>96</v>
      </c>
      <c r="I8" s="42" t="s">
        <v>117</v>
      </c>
      <c r="J8" s="21">
        <v>14</v>
      </c>
      <c r="K8" s="21">
        <v>14</v>
      </c>
      <c r="L8" s="10">
        <v>16983.439999999999</v>
      </c>
      <c r="M8" s="10">
        <v>16983.439999999999</v>
      </c>
    </row>
    <row r="9" spans="1:13" x14ac:dyDescent="0.25">
      <c r="A9" s="41">
        <v>202007</v>
      </c>
      <c r="B9" s="41">
        <v>70</v>
      </c>
      <c r="C9" s="42" t="s">
        <v>139</v>
      </c>
      <c r="D9" s="58">
        <v>5268490000125</v>
      </c>
      <c r="E9" s="46" t="b">
        <v>0</v>
      </c>
      <c r="F9" s="46" t="b">
        <v>1</v>
      </c>
      <c r="G9" s="46" t="b">
        <v>1</v>
      </c>
      <c r="H9" s="42" t="s">
        <v>96</v>
      </c>
      <c r="I9" s="42" t="s">
        <v>117</v>
      </c>
      <c r="J9" s="21">
        <v>250</v>
      </c>
      <c r="K9" s="21">
        <v>1250</v>
      </c>
      <c r="L9" s="10">
        <v>256238.24</v>
      </c>
      <c r="M9" s="10">
        <v>256238.24</v>
      </c>
    </row>
    <row r="10" spans="1:13" x14ac:dyDescent="0.25">
      <c r="A10" s="41">
        <v>202007</v>
      </c>
      <c r="B10" s="41">
        <v>70</v>
      </c>
      <c r="C10" s="42" t="s">
        <v>139</v>
      </c>
      <c r="D10" s="58">
        <v>5268490000125</v>
      </c>
      <c r="E10" s="46" t="b">
        <v>0</v>
      </c>
      <c r="F10" s="46" t="b">
        <v>1</v>
      </c>
      <c r="G10" s="46" t="b">
        <v>1</v>
      </c>
      <c r="H10" s="42" t="s">
        <v>96</v>
      </c>
      <c r="I10" s="42" t="s">
        <v>117</v>
      </c>
      <c r="J10" s="21">
        <v>100</v>
      </c>
      <c r="K10" s="21">
        <v>500</v>
      </c>
      <c r="L10" s="10">
        <v>102495.29</v>
      </c>
      <c r="M10" s="10">
        <v>102495.29</v>
      </c>
    </row>
    <row r="11" spans="1:13" x14ac:dyDescent="0.25">
      <c r="A11" s="41">
        <v>202007</v>
      </c>
      <c r="B11" s="41">
        <v>47</v>
      </c>
      <c r="C11" s="42" t="s">
        <v>111</v>
      </c>
      <c r="D11" s="58">
        <v>7954571003987</v>
      </c>
      <c r="E11" s="46" t="b">
        <v>0</v>
      </c>
      <c r="F11" s="46" t="b">
        <v>0</v>
      </c>
      <c r="G11" s="46" t="b">
        <v>1</v>
      </c>
      <c r="H11" s="42" t="s">
        <v>96</v>
      </c>
      <c r="I11" s="42" t="s">
        <v>117</v>
      </c>
      <c r="J11" s="21">
        <v>120</v>
      </c>
      <c r="K11" s="21">
        <v>120</v>
      </c>
      <c r="L11" s="10">
        <v>16826.400000000001</v>
      </c>
      <c r="M11" s="10">
        <v>16826.400000000001</v>
      </c>
    </row>
    <row r="12" spans="1:13" x14ac:dyDescent="0.25">
      <c r="A12" s="41">
        <v>202007</v>
      </c>
      <c r="B12" s="41">
        <v>47</v>
      </c>
      <c r="C12" s="42" t="s">
        <v>111</v>
      </c>
      <c r="D12" s="58">
        <v>7954571003987</v>
      </c>
      <c r="E12" s="46" t="b">
        <v>0</v>
      </c>
      <c r="F12" s="46" t="b">
        <v>0</v>
      </c>
      <c r="G12" s="46" t="b">
        <v>1</v>
      </c>
      <c r="H12" s="42" t="s">
        <v>96</v>
      </c>
      <c r="I12" s="42" t="s">
        <v>117</v>
      </c>
      <c r="J12" s="21">
        <v>140</v>
      </c>
      <c r="K12" s="21">
        <v>140</v>
      </c>
      <c r="L12" s="10">
        <v>19630.8</v>
      </c>
      <c r="M12" s="10">
        <v>19630.8</v>
      </c>
    </row>
    <row r="13" spans="1:13" x14ac:dyDescent="0.25">
      <c r="A13" s="41">
        <v>202007</v>
      </c>
      <c r="B13" s="41">
        <v>70</v>
      </c>
      <c r="C13" s="42" t="s">
        <v>139</v>
      </c>
      <c r="D13" s="58">
        <v>8597121000174</v>
      </c>
      <c r="E13" s="46" t="b">
        <v>0</v>
      </c>
      <c r="F13" s="46" t="b">
        <v>0</v>
      </c>
      <c r="G13" s="46" t="b">
        <v>1</v>
      </c>
      <c r="H13" s="42" t="s">
        <v>94</v>
      </c>
      <c r="I13" s="42" t="s">
        <v>128</v>
      </c>
      <c r="J13" s="21">
        <v>20</v>
      </c>
      <c r="K13" s="21">
        <v>100</v>
      </c>
      <c r="L13" s="10">
        <v>19643.2</v>
      </c>
      <c r="M13" s="10">
        <v>19643.2</v>
      </c>
    </row>
    <row r="14" spans="1:13" x14ac:dyDescent="0.25">
      <c r="A14" s="41">
        <v>202007</v>
      </c>
      <c r="B14" s="41">
        <v>64</v>
      </c>
      <c r="C14" s="42" t="s">
        <v>133</v>
      </c>
      <c r="D14" s="58">
        <v>394544021344</v>
      </c>
      <c r="E14" s="46" t="b">
        <v>0</v>
      </c>
      <c r="F14" s="46" t="b">
        <v>0</v>
      </c>
      <c r="G14" s="46" t="b">
        <v>1</v>
      </c>
      <c r="H14" s="42" t="s">
        <v>94</v>
      </c>
      <c r="I14" s="42" t="s">
        <v>127</v>
      </c>
      <c r="J14" s="21">
        <v>74</v>
      </c>
      <c r="K14" s="21">
        <v>74</v>
      </c>
      <c r="L14" s="10">
        <v>67041.03</v>
      </c>
      <c r="M14" s="10">
        <v>67041.03</v>
      </c>
    </row>
    <row r="15" spans="1:13" x14ac:dyDescent="0.25">
      <c r="A15" s="41">
        <v>202007</v>
      </c>
      <c r="B15" s="41">
        <v>45</v>
      </c>
      <c r="C15" s="42" t="s">
        <v>137</v>
      </c>
      <c r="D15" s="58">
        <v>60448040000122</v>
      </c>
      <c r="E15" s="46" t="b">
        <v>0</v>
      </c>
      <c r="F15" s="46" t="b">
        <v>0</v>
      </c>
      <c r="G15" s="46" t="b">
        <v>1</v>
      </c>
      <c r="H15" s="42" t="s">
        <v>112</v>
      </c>
      <c r="I15" s="42" t="s">
        <v>134</v>
      </c>
      <c r="J15" s="21">
        <v>2937</v>
      </c>
      <c r="K15" s="21">
        <v>2937</v>
      </c>
      <c r="L15" s="10">
        <v>259924.5</v>
      </c>
      <c r="M15" s="10">
        <v>259924.5</v>
      </c>
    </row>
    <row r="16" spans="1:13" x14ac:dyDescent="0.25">
      <c r="A16" s="41">
        <v>202007</v>
      </c>
      <c r="B16" s="41">
        <v>45</v>
      </c>
      <c r="C16" s="42" t="s">
        <v>137</v>
      </c>
      <c r="D16" s="58">
        <v>17700763000300</v>
      </c>
      <c r="E16" s="46" t="b">
        <v>0</v>
      </c>
      <c r="F16" s="46" t="b">
        <v>1</v>
      </c>
      <c r="G16" s="46" t="b">
        <v>1</v>
      </c>
      <c r="H16" s="42" t="s">
        <v>94</v>
      </c>
      <c r="I16" s="42" t="s">
        <v>100</v>
      </c>
      <c r="J16" s="21">
        <v>1000</v>
      </c>
      <c r="K16" s="21">
        <v>1000</v>
      </c>
      <c r="L16" s="10">
        <v>86102.48</v>
      </c>
      <c r="M16" s="10">
        <v>86102.48</v>
      </c>
    </row>
    <row r="17" spans="1:13" x14ac:dyDescent="0.25">
      <c r="A17" s="41">
        <v>202007</v>
      </c>
      <c r="B17" s="41">
        <v>64</v>
      </c>
      <c r="C17" s="42" t="s">
        <v>133</v>
      </c>
      <c r="D17" s="58">
        <v>17700763000300</v>
      </c>
      <c r="E17" s="46" t="b">
        <v>0</v>
      </c>
      <c r="F17" s="46" t="b">
        <v>1</v>
      </c>
      <c r="G17" s="46" t="b">
        <v>1</v>
      </c>
      <c r="H17" s="42" t="s">
        <v>94</v>
      </c>
      <c r="I17" s="42" t="s">
        <v>100</v>
      </c>
      <c r="J17" s="21">
        <v>25</v>
      </c>
      <c r="K17" s="21">
        <v>25</v>
      </c>
      <c r="L17" s="10">
        <v>22155.02</v>
      </c>
      <c r="M17" s="10">
        <v>22155.02</v>
      </c>
    </row>
    <row r="18" spans="1:13" x14ac:dyDescent="0.25">
      <c r="A18" s="41">
        <v>202007</v>
      </c>
      <c r="B18" s="41">
        <v>62</v>
      </c>
      <c r="C18" s="42" t="s">
        <v>132</v>
      </c>
      <c r="D18" s="58">
        <v>17700763000300</v>
      </c>
      <c r="E18" s="46" t="b">
        <v>0</v>
      </c>
      <c r="F18" s="46" t="b">
        <v>1</v>
      </c>
      <c r="G18" s="46" t="b">
        <v>1</v>
      </c>
      <c r="H18" s="42" t="s">
        <v>94</v>
      </c>
      <c r="I18" s="42" t="s">
        <v>100</v>
      </c>
      <c r="J18" s="21">
        <v>40</v>
      </c>
      <c r="K18" s="21">
        <v>40</v>
      </c>
      <c r="L18" s="10">
        <v>49470.51</v>
      </c>
      <c r="M18" s="10">
        <v>49470.51</v>
      </c>
    </row>
    <row r="19" spans="1:13" x14ac:dyDescent="0.25">
      <c r="A19" s="41">
        <v>202007</v>
      </c>
      <c r="B19" s="41">
        <v>45</v>
      </c>
      <c r="C19" s="42" t="s">
        <v>137</v>
      </c>
      <c r="D19" s="58">
        <v>17700763000300</v>
      </c>
      <c r="E19" s="46" t="b">
        <v>0</v>
      </c>
      <c r="F19" s="46" t="b">
        <v>1</v>
      </c>
      <c r="G19" s="46" t="b">
        <v>1</v>
      </c>
      <c r="H19" s="42" t="s">
        <v>94</v>
      </c>
      <c r="I19" s="42" t="s">
        <v>100</v>
      </c>
      <c r="J19" s="21">
        <v>157</v>
      </c>
      <c r="K19" s="21">
        <v>157</v>
      </c>
      <c r="L19" s="10">
        <v>13518.09</v>
      </c>
      <c r="M19" s="10">
        <v>13518.09</v>
      </c>
    </row>
    <row r="20" spans="1:13" x14ac:dyDescent="0.25">
      <c r="A20" s="41">
        <v>202007</v>
      </c>
      <c r="B20" s="41">
        <v>45</v>
      </c>
      <c r="C20" s="42" t="s">
        <v>137</v>
      </c>
      <c r="D20" s="58">
        <v>17700763000300</v>
      </c>
      <c r="E20" s="46" t="b">
        <v>0</v>
      </c>
      <c r="F20" s="46" t="b">
        <v>1</v>
      </c>
      <c r="G20" s="46" t="b">
        <v>1</v>
      </c>
      <c r="H20" s="42" t="s">
        <v>94</v>
      </c>
      <c r="I20" s="42" t="s">
        <v>100</v>
      </c>
      <c r="J20" s="21">
        <v>843</v>
      </c>
      <c r="K20" s="21">
        <v>843</v>
      </c>
      <c r="L20" s="10">
        <v>72584.39</v>
      </c>
      <c r="M20" s="10">
        <v>72584.39</v>
      </c>
    </row>
    <row r="21" spans="1:13" x14ac:dyDescent="0.25">
      <c r="A21" s="41">
        <v>202007</v>
      </c>
      <c r="B21" s="41">
        <v>73</v>
      </c>
      <c r="C21" s="42" t="s">
        <v>141</v>
      </c>
      <c r="D21" s="58">
        <v>17700763000300</v>
      </c>
      <c r="E21" s="46" t="b">
        <v>0</v>
      </c>
      <c r="F21" s="46" t="b">
        <v>1</v>
      </c>
      <c r="G21" s="46" t="b">
        <v>1</v>
      </c>
      <c r="H21" s="42" t="s">
        <v>94</v>
      </c>
      <c r="I21" s="42" t="s">
        <v>100</v>
      </c>
      <c r="J21" s="21">
        <v>100</v>
      </c>
      <c r="K21" s="21">
        <v>400</v>
      </c>
      <c r="L21" s="10">
        <v>87972.4</v>
      </c>
      <c r="M21" s="10">
        <v>87972.4</v>
      </c>
    </row>
    <row r="22" spans="1:13" x14ac:dyDescent="0.25">
      <c r="A22" s="41">
        <v>202007</v>
      </c>
      <c r="B22" s="41">
        <v>73</v>
      </c>
      <c r="C22" s="42" t="s">
        <v>141</v>
      </c>
      <c r="D22" s="58">
        <v>81887838000736</v>
      </c>
      <c r="E22" s="46" t="b">
        <v>0</v>
      </c>
      <c r="F22" s="46" t="b">
        <v>1</v>
      </c>
      <c r="G22" s="46" t="b">
        <v>1</v>
      </c>
      <c r="H22" s="42" t="s">
        <v>112</v>
      </c>
      <c r="I22" s="42" t="s">
        <v>120</v>
      </c>
      <c r="J22" s="21">
        <v>150</v>
      </c>
      <c r="K22" s="21">
        <v>600</v>
      </c>
      <c r="L22" s="10">
        <v>141165.01999999999</v>
      </c>
      <c r="M22" s="10">
        <v>141165.01999999999</v>
      </c>
    </row>
    <row r="23" spans="1:13" x14ac:dyDescent="0.25">
      <c r="A23" s="41">
        <v>202007</v>
      </c>
      <c r="B23" s="41">
        <v>73</v>
      </c>
      <c r="C23" s="42" t="s">
        <v>138</v>
      </c>
      <c r="D23" s="58">
        <v>81887838000736</v>
      </c>
      <c r="E23" s="46" t="b">
        <v>0</v>
      </c>
      <c r="F23" s="46" t="b">
        <v>1</v>
      </c>
      <c r="G23" s="46" t="b">
        <v>1</v>
      </c>
      <c r="H23" s="42" t="s">
        <v>112</v>
      </c>
      <c r="I23" s="42" t="s">
        <v>120</v>
      </c>
      <c r="J23" s="21">
        <v>170</v>
      </c>
      <c r="K23" s="21">
        <v>340</v>
      </c>
      <c r="L23" s="10">
        <v>79994.240000000005</v>
      </c>
      <c r="M23" s="10">
        <v>79994.240000000005</v>
      </c>
    </row>
    <row r="24" spans="1:13" x14ac:dyDescent="0.25">
      <c r="A24" s="41">
        <v>202007</v>
      </c>
      <c r="B24" s="41">
        <v>70</v>
      </c>
      <c r="C24" s="42" t="s">
        <v>139</v>
      </c>
      <c r="D24" s="58">
        <v>4355394000151</v>
      </c>
      <c r="E24" s="46" t="b">
        <v>0</v>
      </c>
      <c r="F24" s="46" t="b">
        <v>1</v>
      </c>
      <c r="G24" s="46" t="b">
        <v>1</v>
      </c>
      <c r="H24" s="42" t="s">
        <v>94</v>
      </c>
      <c r="I24" s="42" t="s">
        <v>128</v>
      </c>
      <c r="J24" s="21">
        <v>200</v>
      </c>
      <c r="K24" s="21">
        <v>1000</v>
      </c>
      <c r="L24" s="10">
        <v>204990.39</v>
      </c>
      <c r="M24" s="10">
        <v>204990.39</v>
      </c>
    </row>
    <row r="25" spans="1:13" x14ac:dyDescent="0.25">
      <c r="A25" s="41">
        <v>202007</v>
      </c>
      <c r="B25" s="41">
        <v>70</v>
      </c>
      <c r="C25" s="42" t="s">
        <v>139</v>
      </c>
      <c r="D25" s="58">
        <v>82873068000140</v>
      </c>
      <c r="E25" s="46" t="b">
        <v>0</v>
      </c>
      <c r="F25" s="46" t="b">
        <v>1</v>
      </c>
      <c r="G25" s="46" t="b">
        <v>1</v>
      </c>
      <c r="H25" s="42" t="s">
        <v>94</v>
      </c>
      <c r="I25" s="42" t="s">
        <v>128</v>
      </c>
      <c r="J25" s="21">
        <v>250</v>
      </c>
      <c r="K25" s="21">
        <v>1250</v>
      </c>
      <c r="L25" s="10">
        <v>256238</v>
      </c>
      <c r="M25" s="10">
        <v>256238</v>
      </c>
    </row>
    <row r="26" spans="1:13" x14ac:dyDescent="0.25">
      <c r="A26" s="41">
        <v>202007</v>
      </c>
      <c r="B26" s="41">
        <v>45</v>
      </c>
      <c r="C26" s="42" t="s">
        <v>137</v>
      </c>
      <c r="D26" s="58">
        <v>46374500012877</v>
      </c>
      <c r="E26" s="46" t="b">
        <v>0</v>
      </c>
      <c r="F26" s="46" t="b">
        <v>0</v>
      </c>
      <c r="G26" s="46" t="b">
        <v>1</v>
      </c>
      <c r="H26" s="42" t="s">
        <v>112</v>
      </c>
      <c r="I26" s="42" t="s">
        <v>120</v>
      </c>
      <c r="J26" s="21">
        <v>70</v>
      </c>
      <c r="K26" s="21">
        <v>70</v>
      </c>
      <c r="L26" s="10">
        <v>6195</v>
      </c>
      <c r="M26" s="10">
        <v>6195</v>
      </c>
    </row>
    <row r="27" spans="1:13" x14ac:dyDescent="0.25">
      <c r="A27" s="41">
        <v>202007</v>
      </c>
      <c r="B27" s="41">
        <v>45</v>
      </c>
      <c r="C27" s="42" t="s">
        <v>137</v>
      </c>
      <c r="D27" s="58">
        <v>46374500011129</v>
      </c>
      <c r="E27" s="46" t="b">
        <v>0</v>
      </c>
      <c r="F27" s="46" t="b">
        <v>0</v>
      </c>
      <c r="G27" s="46" t="b">
        <v>1</v>
      </c>
      <c r="H27" s="42" t="s">
        <v>112</v>
      </c>
      <c r="I27" s="42" t="s">
        <v>134</v>
      </c>
      <c r="J27" s="21">
        <v>45</v>
      </c>
      <c r="K27" s="21">
        <v>45</v>
      </c>
      <c r="L27" s="10">
        <v>3982.5</v>
      </c>
      <c r="M27" s="10">
        <v>3982.5</v>
      </c>
    </row>
    <row r="28" spans="1:13" x14ac:dyDescent="0.25">
      <c r="A28" s="41">
        <v>202007</v>
      </c>
      <c r="B28" s="41">
        <v>45</v>
      </c>
      <c r="C28" s="42" t="s">
        <v>137</v>
      </c>
      <c r="D28" s="58">
        <v>60747318000162</v>
      </c>
      <c r="E28" s="46" t="b">
        <v>0</v>
      </c>
      <c r="F28" s="46" t="b">
        <v>0</v>
      </c>
      <c r="G28" s="46" t="b">
        <v>1</v>
      </c>
      <c r="H28" s="42" t="s">
        <v>112</v>
      </c>
      <c r="I28" s="42" t="s">
        <v>113</v>
      </c>
      <c r="J28" s="21">
        <v>440</v>
      </c>
      <c r="K28" s="21">
        <v>440</v>
      </c>
      <c r="L28" s="10">
        <v>38940</v>
      </c>
      <c r="M28" s="10">
        <v>38940</v>
      </c>
    </row>
    <row r="29" spans="1:13" x14ac:dyDescent="0.25">
      <c r="A29" s="41">
        <v>202007</v>
      </c>
      <c r="B29" s="41">
        <v>64</v>
      </c>
      <c r="C29" s="42" t="s">
        <v>133</v>
      </c>
      <c r="D29" s="58">
        <v>60448040000122</v>
      </c>
      <c r="E29" s="46" t="b">
        <v>0</v>
      </c>
      <c r="F29" s="46" t="b">
        <v>0</v>
      </c>
      <c r="G29" s="46" t="b">
        <v>1</v>
      </c>
      <c r="H29" s="42" t="s">
        <v>112</v>
      </c>
      <c r="I29" s="42" t="s">
        <v>134</v>
      </c>
      <c r="J29" s="21">
        <v>200</v>
      </c>
      <c r="K29" s="21">
        <v>200</v>
      </c>
      <c r="L29" s="10">
        <v>162000</v>
      </c>
      <c r="M29" s="10">
        <v>162000</v>
      </c>
    </row>
    <row r="30" spans="1:13" x14ac:dyDescent="0.25">
      <c r="A30" s="41">
        <v>202007</v>
      </c>
      <c r="B30" s="41">
        <v>73</v>
      </c>
      <c r="C30" s="42" t="s">
        <v>141</v>
      </c>
      <c r="D30" s="58">
        <v>60448040000122</v>
      </c>
      <c r="E30" s="46" t="b">
        <v>0</v>
      </c>
      <c r="F30" s="46" t="b">
        <v>0</v>
      </c>
      <c r="G30" s="46" t="b">
        <v>1</v>
      </c>
      <c r="H30" s="42" t="s">
        <v>112</v>
      </c>
      <c r="I30" s="42" t="s">
        <v>134</v>
      </c>
      <c r="J30" s="21">
        <v>19</v>
      </c>
      <c r="K30" s="21">
        <v>76</v>
      </c>
      <c r="L30" s="10">
        <v>18905</v>
      </c>
      <c r="M30" s="10">
        <v>18905</v>
      </c>
    </row>
    <row r="31" spans="1:13" x14ac:dyDescent="0.25">
      <c r="A31" s="41">
        <v>202007</v>
      </c>
      <c r="B31" s="41">
        <v>70</v>
      </c>
      <c r="C31" s="42" t="s">
        <v>139</v>
      </c>
      <c r="D31" s="58">
        <v>7812105000194</v>
      </c>
      <c r="E31" s="46" t="b">
        <v>0</v>
      </c>
      <c r="F31" s="46" t="b">
        <v>1</v>
      </c>
      <c r="G31" s="46" t="b">
        <v>1</v>
      </c>
      <c r="H31" s="42" t="s">
        <v>96</v>
      </c>
      <c r="I31" s="42" t="s">
        <v>129</v>
      </c>
      <c r="J31" s="21">
        <v>250</v>
      </c>
      <c r="K31" s="21">
        <v>1250</v>
      </c>
      <c r="L31" s="10">
        <v>266505.74</v>
      </c>
      <c r="M31" s="10">
        <v>266505.74</v>
      </c>
    </row>
    <row r="32" spans="1:13" x14ac:dyDescent="0.25">
      <c r="A32" s="41">
        <v>202007</v>
      </c>
      <c r="B32" s="41">
        <v>56</v>
      </c>
      <c r="C32" s="42" t="s">
        <v>136</v>
      </c>
      <c r="D32" s="58">
        <v>12420164000904</v>
      </c>
      <c r="E32" s="46" t="b">
        <v>0</v>
      </c>
      <c r="F32" s="46" t="b">
        <v>1</v>
      </c>
      <c r="G32" s="46" t="b">
        <v>1</v>
      </c>
      <c r="H32" s="42" t="s">
        <v>96</v>
      </c>
      <c r="I32" s="42" t="s">
        <v>122</v>
      </c>
      <c r="J32" s="21">
        <v>20</v>
      </c>
      <c r="K32" s="21">
        <v>20</v>
      </c>
      <c r="L32" s="10">
        <v>621.71</v>
      </c>
      <c r="M32" s="10">
        <v>621.71</v>
      </c>
    </row>
    <row r="33" spans="1:13" x14ac:dyDescent="0.25">
      <c r="A33" s="41">
        <v>202007</v>
      </c>
      <c r="B33" s="41">
        <v>47</v>
      </c>
      <c r="C33" s="42" t="s">
        <v>111</v>
      </c>
      <c r="D33" s="58">
        <v>15145035000196</v>
      </c>
      <c r="E33" s="46" t="b">
        <v>0</v>
      </c>
      <c r="F33" s="46" t="b">
        <v>1</v>
      </c>
      <c r="G33" s="46" t="b">
        <v>1</v>
      </c>
      <c r="H33" s="42" t="s">
        <v>96</v>
      </c>
      <c r="I33" s="42" t="s">
        <v>130</v>
      </c>
      <c r="J33" s="21">
        <v>91</v>
      </c>
      <c r="K33" s="21">
        <v>91</v>
      </c>
      <c r="L33" s="10">
        <v>13616.67</v>
      </c>
      <c r="M33" s="10">
        <v>13616.67</v>
      </c>
    </row>
    <row r="34" spans="1:13" x14ac:dyDescent="0.25">
      <c r="A34" s="41">
        <v>202007</v>
      </c>
      <c r="B34" s="41">
        <v>47</v>
      </c>
      <c r="C34" s="42" t="s">
        <v>111</v>
      </c>
      <c r="D34" s="58">
        <v>12420164000904</v>
      </c>
      <c r="E34" s="46" t="b">
        <v>0</v>
      </c>
      <c r="F34" s="46" t="b">
        <v>1</v>
      </c>
      <c r="G34" s="46" t="b">
        <v>1</v>
      </c>
      <c r="H34" s="42" t="s">
        <v>96</v>
      </c>
      <c r="I34" s="42" t="s">
        <v>122</v>
      </c>
      <c r="J34" s="21">
        <v>700</v>
      </c>
      <c r="K34" s="21">
        <v>700</v>
      </c>
      <c r="L34" s="10">
        <v>104743.62</v>
      </c>
      <c r="M34" s="10">
        <v>104743.62</v>
      </c>
    </row>
    <row r="35" spans="1:13" x14ac:dyDescent="0.25">
      <c r="A35" s="41">
        <v>202007</v>
      </c>
      <c r="B35" s="41">
        <v>47</v>
      </c>
      <c r="C35" s="42" t="s">
        <v>111</v>
      </c>
      <c r="D35" s="58">
        <v>12420164000904</v>
      </c>
      <c r="E35" s="46" t="b">
        <v>0</v>
      </c>
      <c r="F35" s="46" t="b">
        <v>1</v>
      </c>
      <c r="G35" s="46" t="b">
        <v>1</v>
      </c>
      <c r="H35" s="42" t="s">
        <v>96</v>
      </c>
      <c r="I35" s="42" t="s">
        <v>122</v>
      </c>
      <c r="J35" s="21">
        <v>300</v>
      </c>
      <c r="K35" s="21">
        <v>300</v>
      </c>
      <c r="L35" s="10">
        <v>44890.12</v>
      </c>
      <c r="M35" s="10">
        <v>44890.12</v>
      </c>
    </row>
    <row r="36" spans="1:13" x14ac:dyDescent="0.25">
      <c r="A36" s="41">
        <v>202007</v>
      </c>
      <c r="B36" s="41">
        <v>47</v>
      </c>
      <c r="C36" s="42" t="s">
        <v>111</v>
      </c>
      <c r="D36" s="58">
        <v>15145035000196</v>
      </c>
      <c r="E36" s="46" t="b">
        <v>0</v>
      </c>
      <c r="F36" s="46" t="b">
        <v>1</v>
      </c>
      <c r="G36" s="46" t="b">
        <v>1</v>
      </c>
      <c r="H36" s="42" t="s">
        <v>96</v>
      </c>
      <c r="I36" s="42" t="s">
        <v>130</v>
      </c>
      <c r="J36" s="21">
        <v>59</v>
      </c>
      <c r="K36" s="21">
        <v>59</v>
      </c>
      <c r="L36" s="10">
        <v>8828.39</v>
      </c>
      <c r="M36" s="10">
        <v>8828.39</v>
      </c>
    </row>
    <row r="37" spans="1:13" x14ac:dyDescent="0.25">
      <c r="A37" s="41">
        <v>202007</v>
      </c>
      <c r="B37" s="41">
        <v>45</v>
      </c>
      <c r="C37" s="42" t="s">
        <v>137</v>
      </c>
      <c r="D37" s="58">
        <v>12420164000904</v>
      </c>
      <c r="E37" s="46" t="b">
        <v>0</v>
      </c>
      <c r="F37" s="46" t="b">
        <v>1</v>
      </c>
      <c r="G37" s="46" t="b">
        <v>1</v>
      </c>
      <c r="H37" s="42" t="s">
        <v>96</v>
      </c>
      <c r="I37" s="42" t="s">
        <v>122</v>
      </c>
      <c r="J37" s="21">
        <v>3000</v>
      </c>
      <c r="K37" s="21">
        <v>3000</v>
      </c>
      <c r="L37" s="10">
        <v>258307.43</v>
      </c>
      <c r="M37" s="10">
        <v>258307.43</v>
      </c>
    </row>
    <row r="38" spans="1:13" x14ac:dyDescent="0.25">
      <c r="A38" s="41">
        <v>202007</v>
      </c>
      <c r="B38" s="41">
        <v>64</v>
      </c>
      <c r="C38" s="42" t="s">
        <v>133</v>
      </c>
      <c r="D38" s="58">
        <v>12420164000904</v>
      </c>
      <c r="E38" s="46" t="b">
        <v>0</v>
      </c>
      <c r="F38" s="46" t="b">
        <v>1</v>
      </c>
      <c r="G38" s="46" t="b">
        <v>1</v>
      </c>
      <c r="H38" s="42" t="s">
        <v>96</v>
      </c>
      <c r="I38" s="42" t="s">
        <v>122</v>
      </c>
      <c r="J38" s="21">
        <v>5</v>
      </c>
      <c r="K38" s="21">
        <v>5</v>
      </c>
      <c r="L38" s="10">
        <v>3900.39</v>
      </c>
      <c r="M38" s="10">
        <v>3900.39</v>
      </c>
    </row>
    <row r="39" spans="1:13" x14ac:dyDescent="0.25">
      <c r="A39" s="41">
        <v>202007</v>
      </c>
      <c r="B39" s="41">
        <v>45</v>
      </c>
      <c r="C39" s="42" t="s">
        <v>137</v>
      </c>
      <c r="D39" s="58">
        <v>12420164000904</v>
      </c>
      <c r="E39" s="46" t="b">
        <v>0</v>
      </c>
      <c r="F39" s="46" t="b">
        <v>1</v>
      </c>
      <c r="G39" s="46" t="b">
        <v>1</v>
      </c>
      <c r="H39" s="42" t="s">
        <v>96</v>
      </c>
      <c r="I39" s="42" t="s">
        <v>122</v>
      </c>
      <c r="J39" s="21">
        <v>80</v>
      </c>
      <c r="K39" s="21">
        <v>80</v>
      </c>
      <c r="L39" s="10">
        <v>6518.63</v>
      </c>
      <c r="M39" s="10">
        <v>6518.63</v>
      </c>
    </row>
    <row r="40" spans="1:13" x14ac:dyDescent="0.25">
      <c r="A40" s="41">
        <v>202007</v>
      </c>
      <c r="B40" s="41">
        <v>47</v>
      </c>
      <c r="C40" s="42" t="s">
        <v>111</v>
      </c>
      <c r="D40" s="58">
        <v>12420164000904</v>
      </c>
      <c r="E40" s="46" t="b">
        <v>0</v>
      </c>
      <c r="F40" s="46" t="b">
        <v>1</v>
      </c>
      <c r="G40" s="46" t="b">
        <v>1</v>
      </c>
      <c r="H40" s="42" t="s">
        <v>96</v>
      </c>
      <c r="I40" s="42" t="s">
        <v>122</v>
      </c>
      <c r="J40" s="21">
        <v>30</v>
      </c>
      <c r="K40" s="21">
        <v>30</v>
      </c>
      <c r="L40" s="10">
        <v>3847.34</v>
      </c>
      <c r="M40" s="10">
        <v>3847.34</v>
      </c>
    </row>
    <row r="41" spans="1:13" x14ac:dyDescent="0.25">
      <c r="A41" s="41">
        <v>202007</v>
      </c>
      <c r="B41" s="41">
        <v>70</v>
      </c>
      <c r="C41" s="42" t="s">
        <v>139</v>
      </c>
      <c r="D41" s="58">
        <v>12420164000904</v>
      </c>
      <c r="E41" s="46" t="b">
        <v>0</v>
      </c>
      <c r="F41" s="46" t="b">
        <v>1</v>
      </c>
      <c r="G41" s="46" t="b">
        <v>1</v>
      </c>
      <c r="H41" s="42" t="s">
        <v>96</v>
      </c>
      <c r="I41" s="42" t="s">
        <v>122</v>
      </c>
      <c r="J41" s="21">
        <v>8</v>
      </c>
      <c r="K41" s="21">
        <v>40</v>
      </c>
      <c r="L41" s="10">
        <v>6659.5</v>
      </c>
      <c r="M41" s="10">
        <v>6659.5</v>
      </c>
    </row>
    <row r="42" spans="1:13" x14ac:dyDescent="0.25">
      <c r="A42" s="41">
        <v>202007</v>
      </c>
      <c r="B42" s="41">
        <v>56</v>
      </c>
      <c r="C42" s="42" t="s">
        <v>136</v>
      </c>
      <c r="D42" s="58">
        <v>12420164000904</v>
      </c>
      <c r="E42" s="46" t="b">
        <v>0</v>
      </c>
      <c r="F42" s="46" t="b">
        <v>1</v>
      </c>
      <c r="G42" s="46" t="b">
        <v>1</v>
      </c>
      <c r="H42" s="42" t="s">
        <v>96</v>
      </c>
      <c r="I42" s="42" t="s">
        <v>122</v>
      </c>
      <c r="J42" s="21">
        <v>2</v>
      </c>
      <c r="K42" s="21">
        <v>2</v>
      </c>
      <c r="L42" s="10">
        <v>63.46</v>
      </c>
      <c r="M42" s="10">
        <v>63.46</v>
      </c>
    </row>
    <row r="43" spans="1:13" x14ac:dyDescent="0.25">
      <c r="A43" s="41">
        <v>202007</v>
      </c>
      <c r="B43" s="41">
        <v>73</v>
      </c>
      <c r="C43" s="42" t="s">
        <v>141</v>
      </c>
      <c r="D43" s="58">
        <v>12420164000904</v>
      </c>
      <c r="E43" s="46" t="b">
        <v>0</v>
      </c>
      <c r="F43" s="46" t="b">
        <v>1</v>
      </c>
      <c r="G43" s="46" t="b">
        <v>1</v>
      </c>
      <c r="H43" s="42" t="s">
        <v>96</v>
      </c>
      <c r="I43" s="42" t="s">
        <v>122</v>
      </c>
      <c r="J43" s="21">
        <v>10</v>
      </c>
      <c r="K43" s="21">
        <v>40</v>
      </c>
      <c r="L43" s="10">
        <v>8419.77</v>
      </c>
      <c r="M43" s="10">
        <v>8419.77</v>
      </c>
    </row>
    <row r="44" spans="1:13" x14ac:dyDescent="0.25">
      <c r="A44" s="41">
        <v>202007</v>
      </c>
      <c r="B44" s="41">
        <v>73</v>
      </c>
      <c r="C44" s="42" t="s">
        <v>135</v>
      </c>
      <c r="D44" s="58">
        <v>12420164000904</v>
      </c>
      <c r="E44" s="46" t="b">
        <v>0</v>
      </c>
      <c r="F44" s="46" t="b">
        <v>1</v>
      </c>
      <c r="G44" s="46" t="b">
        <v>1</v>
      </c>
      <c r="H44" s="42" t="s">
        <v>96</v>
      </c>
      <c r="I44" s="42" t="s">
        <v>122</v>
      </c>
      <c r="J44" s="21">
        <v>10</v>
      </c>
      <c r="K44" s="21">
        <v>10</v>
      </c>
      <c r="L44" s="10">
        <v>2199.37</v>
      </c>
      <c r="M44" s="10">
        <v>2199.37</v>
      </c>
    </row>
    <row r="45" spans="1:13" x14ac:dyDescent="0.25">
      <c r="A45" s="41">
        <v>202007</v>
      </c>
      <c r="B45" s="41">
        <v>56</v>
      </c>
      <c r="C45" s="42" t="s">
        <v>136</v>
      </c>
      <c r="D45" s="58">
        <v>12420164000904</v>
      </c>
      <c r="E45" s="46" t="b">
        <v>0</v>
      </c>
      <c r="F45" s="46" t="b">
        <v>1</v>
      </c>
      <c r="G45" s="46" t="b">
        <v>1</v>
      </c>
      <c r="H45" s="42" t="s">
        <v>96</v>
      </c>
      <c r="I45" s="42" t="s">
        <v>122</v>
      </c>
      <c r="J45" s="21">
        <v>100</v>
      </c>
      <c r="K45" s="21">
        <v>100</v>
      </c>
      <c r="L45" s="10">
        <v>3648.28</v>
      </c>
      <c r="M45" s="10">
        <v>3648.28</v>
      </c>
    </row>
    <row r="46" spans="1:13" x14ac:dyDescent="0.25">
      <c r="A46" s="41">
        <v>202007</v>
      </c>
      <c r="B46" s="41">
        <v>73</v>
      </c>
      <c r="C46" s="42" t="s">
        <v>141</v>
      </c>
      <c r="D46" s="58">
        <v>12420164000904</v>
      </c>
      <c r="E46" s="46" t="b">
        <v>0</v>
      </c>
      <c r="F46" s="46" t="b">
        <v>1</v>
      </c>
      <c r="G46" s="46" t="b">
        <v>1</v>
      </c>
      <c r="H46" s="42" t="s">
        <v>96</v>
      </c>
      <c r="I46" s="42" t="s">
        <v>122</v>
      </c>
      <c r="J46" s="21">
        <v>30</v>
      </c>
      <c r="K46" s="21">
        <v>120</v>
      </c>
      <c r="L46" s="10">
        <v>26391.72</v>
      </c>
      <c r="M46" s="10">
        <v>26391.72</v>
      </c>
    </row>
    <row r="47" spans="1:13" x14ac:dyDescent="0.25">
      <c r="A47" s="41">
        <v>202007</v>
      </c>
      <c r="B47" s="41">
        <v>73</v>
      </c>
      <c r="C47" s="42" t="s">
        <v>138</v>
      </c>
      <c r="D47" s="58">
        <v>12420164000904</v>
      </c>
      <c r="E47" s="46" t="b">
        <v>0</v>
      </c>
      <c r="F47" s="46" t="b">
        <v>1</v>
      </c>
      <c r="G47" s="46" t="b">
        <v>1</v>
      </c>
      <c r="H47" s="42" t="s">
        <v>96</v>
      </c>
      <c r="I47" s="42" t="s">
        <v>122</v>
      </c>
      <c r="J47" s="21">
        <v>30</v>
      </c>
      <c r="K47" s="21">
        <v>60</v>
      </c>
      <c r="L47" s="10">
        <v>13195.98</v>
      </c>
      <c r="M47" s="10">
        <v>13195.98</v>
      </c>
    </row>
    <row r="48" spans="1:13" x14ac:dyDescent="0.25">
      <c r="A48" s="41">
        <v>202007</v>
      </c>
      <c r="B48" s="41">
        <v>64</v>
      </c>
      <c r="C48" s="42" t="s">
        <v>133</v>
      </c>
      <c r="D48" s="58">
        <v>12420164000904</v>
      </c>
      <c r="E48" s="46" t="b">
        <v>0</v>
      </c>
      <c r="F48" s="46" t="b">
        <v>1</v>
      </c>
      <c r="G48" s="46" t="b">
        <v>1</v>
      </c>
      <c r="H48" s="42" t="s">
        <v>96</v>
      </c>
      <c r="I48" s="42" t="s">
        <v>122</v>
      </c>
      <c r="J48" s="21">
        <v>20</v>
      </c>
      <c r="K48" s="21">
        <v>20</v>
      </c>
      <c r="L48" s="10">
        <v>17724.009999999998</v>
      </c>
      <c r="M48" s="10">
        <v>17724.009999999998</v>
      </c>
    </row>
    <row r="49" spans="1:13" x14ac:dyDescent="0.25">
      <c r="A49" s="41">
        <v>202007</v>
      </c>
      <c r="B49" s="41">
        <v>62</v>
      </c>
      <c r="C49" s="42" t="s">
        <v>132</v>
      </c>
      <c r="D49" s="58">
        <v>12420164000904</v>
      </c>
      <c r="E49" s="46" t="b">
        <v>0</v>
      </c>
      <c r="F49" s="46" t="b">
        <v>1</v>
      </c>
      <c r="G49" s="46" t="b">
        <v>1</v>
      </c>
      <c r="H49" s="42" t="s">
        <v>96</v>
      </c>
      <c r="I49" s="42" t="s">
        <v>122</v>
      </c>
      <c r="J49" s="21">
        <v>10</v>
      </c>
      <c r="K49" s="21">
        <v>10</v>
      </c>
      <c r="L49" s="10">
        <v>12367.62</v>
      </c>
      <c r="M49" s="10">
        <v>12367.62</v>
      </c>
    </row>
    <row r="50" spans="1:13" x14ac:dyDescent="0.25">
      <c r="A50" s="41">
        <v>202007</v>
      </c>
      <c r="B50" s="41">
        <v>73</v>
      </c>
      <c r="C50" s="42" t="s">
        <v>135</v>
      </c>
      <c r="D50" s="58">
        <v>12420164000904</v>
      </c>
      <c r="E50" s="46" t="b">
        <v>0</v>
      </c>
      <c r="F50" s="46" t="b">
        <v>1</v>
      </c>
      <c r="G50" s="46" t="b">
        <v>1</v>
      </c>
      <c r="H50" s="42" t="s">
        <v>96</v>
      </c>
      <c r="I50" s="42" t="s">
        <v>122</v>
      </c>
      <c r="J50" s="21">
        <v>40</v>
      </c>
      <c r="K50" s="21">
        <v>40</v>
      </c>
      <c r="L50" s="10">
        <v>8797.48</v>
      </c>
      <c r="M50" s="10">
        <v>8797.48</v>
      </c>
    </row>
    <row r="51" spans="1:13" x14ac:dyDescent="0.25">
      <c r="A51" s="41">
        <v>202007</v>
      </c>
      <c r="B51" s="41">
        <v>56</v>
      </c>
      <c r="C51" s="42" t="s">
        <v>136</v>
      </c>
      <c r="D51" s="58">
        <v>12420164000904</v>
      </c>
      <c r="E51" s="46" t="b">
        <v>0</v>
      </c>
      <c r="F51" s="46" t="b">
        <v>1</v>
      </c>
      <c r="G51" s="46" t="b">
        <v>1</v>
      </c>
      <c r="H51" s="42" t="s">
        <v>96</v>
      </c>
      <c r="I51" s="42" t="s">
        <v>122</v>
      </c>
      <c r="J51" s="21">
        <v>200</v>
      </c>
      <c r="K51" s="21">
        <v>200</v>
      </c>
      <c r="L51" s="10">
        <v>7296.56</v>
      </c>
      <c r="M51" s="10">
        <v>7296.56</v>
      </c>
    </row>
    <row r="52" spans="1:13" x14ac:dyDescent="0.25">
      <c r="A52" s="41">
        <v>202007</v>
      </c>
      <c r="B52" s="41">
        <v>73</v>
      </c>
      <c r="C52" s="42" t="s">
        <v>141</v>
      </c>
      <c r="D52" s="58">
        <v>12420164000904</v>
      </c>
      <c r="E52" s="46" t="b">
        <v>0</v>
      </c>
      <c r="F52" s="46" t="b">
        <v>1</v>
      </c>
      <c r="G52" s="46" t="b">
        <v>1</v>
      </c>
      <c r="H52" s="42" t="s">
        <v>96</v>
      </c>
      <c r="I52" s="42" t="s">
        <v>122</v>
      </c>
      <c r="J52" s="21">
        <v>70</v>
      </c>
      <c r="K52" s="21">
        <v>280</v>
      </c>
      <c r="L52" s="10">
        <v>61580.68</v>
      </c>
      <c r="M52" s="10">
        <v>61580.68</v>
      </c>
    </row>
    <row r="53" spans="1:13" x14ac:dyDescent="0.25">
      <c r="A53" s="41">
        <v>202007</v>
      </c>
      <c r="B53" s="41">
        <v>73</v>
      </c>
      <c r="C53" s="42" t="s">
        <v>138</v>
      </c>
      <c r="D53" s="58">
        <v>12420164000904</v>
      </c>
      <c r="E53" s="46" t="b">
        <v>0</v>
      </c>
      <c r="F53" s="46" t="b">
        <v>1</v>
      </c>
      <c r="G53" s="46" t="b">
        <v>1</v>
      </c>
      <c r="H53" s="42" t="s">
        <v>96</v>
      </c>
      <c r="I53" s="42" t="s">
        <v>122</v>
      </c>
      <c r="J53" s="21">
        <v>70</v>
      </c>
      <c r="K53" s="21">
        <v>140</v>
      </c>
      <c r="L53" s="10">
        <v>30790.62</v>
      </c>
      <c r="M53" s="10">
        <v>30790.62</v>
      </c>
    </row>
    <row r="54" spans="1:13" x14ac:dyDescent="0.25">
      <c r="A54" s="41">
        <v>202007</v>
      </c>
      <c r="B54" s="41">
        <v>64</v>
      </c>
      <c r="C54" s="42" t="s">
        <v>133</v>
      </c>
      <c r="D54" s="58">
        <v>12420164000904</v>
      </c>
      <c r="E54" s="46" t="b">
        <v>0</v>
      </c>
      <c r="F54" s="46" t="b">
        <v>1</v>
      </c>
      <c r="G54" s="46" t="b">
        <v>1</v>
      </c>
      <c r="H54" s="42" t="s">
        <v>96</v>
      </c>
      <c r="I54" s="42" t="s">
        <v>122</v>
      </c>
      <c r="J54" s="21">
        <v>40</v>
      </c>
      <c r="K54" s="21">
        <v>40</v>
      </c>
      <c r="L54" s="10">
        <v>35448.03</v>
      </c>
      <c r="M54" s="10">
        <v>35448.03</v>
      </c>
    </row>
    <row r="55" spans="1:13" x14ac:dyDescent="0.25">
      <c r="A55" s="41">
        <v>202007</v>
      </c>
      <c r="B55" s="41">
        <v>62</v>
      </c>
      <c r="C55" s="42" t="s">
        <v>132</v>
      </c>
      <c r="D55" s="58">
        <v>12420164000904</v>
      </c>
      <c r="E55" s="46" t="b">
        <v>0</v>
      </c>
      <c r="F55" s="46" t="b">
        <v>1</v>
      </c>
      <c r="G55" s="46" t="b">
        <v>1</v>
      </c>
      <c r="H55" s="42" t="s">
        <v>96</v>
      </c>
      <c r="I55" s="42" t="s">
        <v>122</v>
      </c>
      <c r="J55" s="21">
        <v>30</v>
      </c>
      <c r="K55" s="21">
        <v>30</v>
      </c>
      <c r="L55" s="10">
        <v>37102.879999999997</v>
      </c>
      <c r="M55" s="10">
        <v>37102.879999999997</v>
      </c>
    </row>
    <row r="56" spans="1:13" x14ac:dyDescent="0.25">
      <c r="A56" s="41">
        <v>202007</v>
      </c>
      <c r="B56" s="41">
        <v>45</v>
      </c>
      <c r="C56" s="42" t="s">
        <v>137</v>
      </c>
      <c r="D56" s="58">
        <v>12420164000904</v>
      </c>
      <c r="E56" s="46" t="b">
        <v>0</v>
      </c>
      <c r="F56" s="46" t="b">
        <v>1</v>
      </c>
      <c r="G56" s="46" t="b">
        <v>1</v>
      </c>
      <c r="H56" s="42" t="s">
        <v>96</v>
      </c>
      <c r="I56" s="42" t="s">
        <v>122</v>
      </c>
      <c r="J56" s="21">
        <v>40</v>
      </c>
      <c r="K56" s="21">
        <v>40</v>
      </c>
      <c r="L56" s="10">
        <v>3033.72</v>
      </c>
      <c r="M56" s="10">
        <v>3033.72</v>
      </c>
    </row>
    <row r="57" spans="1:13" x14ac:dyDescent="0.25">
      <c r="A57" s="41">
        <v>202007</v>
      </c>
      <c r="B57" s="41">
        <v>47</v>
      </c>
      <c r="C57" s="42" t="s">
        <v>111</v>
      </c>
      <c r="D57" s="58">
        <v>12420164000904</v>
      </c>
      <c r="E57" s="46" t="b">
        <v>0</v>
      </c>
      <c r="F57" s="46" t="b">
        <v>1</v>
      </c>
      <c r="G57" s="46" t="b">
        <v>1</v>
      </c>
      <c r="H57" s="42" t="s">
        <v>96</v>
      </c>
      <c r="I57" s="42" t="s">
        <v>122</v>
      </c>
      <c r="J57" s="21">
        <v>58</v>
      </c>
      <c r="K57" s="21">
        <v>58</v>
      </c>
      <c r="L57" s="10">
        <v>6679.58</v>
      </c>
      <c r="M57" s="10">
        <v>6679.58</v>
      </c>
    </row>
    <row r="58" spans="1:13" x14ac:dyDescent="0.25">
      <c r="A58" s="41">
        <v>202007</v>
      </c>
      <c r="B58" s="41">
        <v>47</v>
      </c>
      <c r="C58" s="42" t="s">
        <v>111</v>
      </c>
      <c r="D58" s="58">
        <v>7224991001530</v>
      </c>
      <c r="E58" s="46" t="b">
        <v>0</v>
      </c>
      <c r="F58" s="46" t="b">
        <v>1</v>
      </c>
      <c r="G58" s="46" t="b">
        <v>1</v>
      </c>
      <c r="H58" s="42" t="s">
        <v>96</v>
      </c>
      <c r="I58" s="42" t="s">
        <v>117</v>
      </c>
      <c r="J58" s="21">
        <v>400</v>
      </c>
      <c r="K58" s="21">
        <v>400</v>
      </c>
      <c r="L58" s="10">
        <v>59853.5</v>
      </c>
      <c r="M58" s="10">
        <v>59853.5</v>
      </c>
    </row>
    <row r="59" spans="1:13" x14ac:dyDescent="0.25">
      <c r="A59" s="41">
        <v>202007</v>
      </c>
      <c r="B59" s="41">
        <v>45</v>
      </c>
      <c r="C59" s="42" t="s">
        <v>137</v>
      </c>
      <c r="D59" s="58">
        <v>19843929001697</v>
      </c>
      <c r="E59" s="46" t="b">
        <v>0</v>
      </c>
      <c r="F59" s="46" t="b">
        <v>0</v>
      </c>
      <c r="G59" s="46" t="b">
        <v>1</v>
      </c>
      <c r="H59" s="42" t="s">
        <v>94</v>
      </c>
      <c r="I59" s="42" t="s">
        <v>95</v>
      </c>
      <c r="J59" s="21">
        <v>40</v>
      </c>
      <c r="K59" s="21">
        <v>40</v>
      </c>
      <c r="L59" s="10">
        <v>3542.4</v>
      </c>
      <c r="M59" s="10">
        <v>3542.4</v>
      </c>
    </row>
    <row r="60" spans="1:13" x14ac:dyDescent="0.25">
      <c r="A60" s="41">
        <v>202007</v>
      </c>
      <c r="B60" s="41">
        <v>45</v>
      </c>
      <c r="C60" s="42" t="s">
        <v>137</v>
      </c>
      <c r="D60" s="58">
        <v>15126437003592</v>
      </c>
      <c r="E60" s="46" t="b">
        <v>0</v>
      </c>
      <c r="F60" s="46" t="b">
        <v>0</v>
      </c>
      <c r="G60" s="46" t="b">
        <v>1</v>
      </c>
      <c r="H60" s="42" t="s">
        <v>94</v>
      </c>
      <c r="I60" s="42" t="s">
        <v>127</v>
      </c>
      <c r="J60" s="21">
        <v>300</v>
      </c>
      <c r="K60" s="21">
        <v>300</v>
      </c>
      <c r="L60" s="10">
        <v>25440</v>
      </c>
      <c r="M60" s="10">
        <v>25440</v>
      </c>
    </row>
    <row r="61" spans="1:13" x14ac:dyDescent="0.25">
      <c r="A61" s="41">
        <v>202007</v>
      </c>
      <c r="B61" s="41">
        <v>73</v>
      </c>
      <c r="C61" s="42" t="s">
        <v>141</v>
      </c>
      <c r="D61" s="58">
        <v>80673411000187</v>
      </c>
      <c r="E61" s="46" t="b">
        <v>0</v>
      </c>
      <c r="F61" s="46" t="b">
        <v>0</v>
      </c>
      <c r="G61" s="46" t="b">
        <v>1</v>
      </c>
      <c r="H61" s="42" t="s">
        <v>94</v>
      </c>
      <c r="I61" s="42" t="s">
        <v>128</v>
      </c>
      <c r="J61" s="21">
        <v>16</v>
      </c>
      <c r="K61" s="21">
        <v>64</v>
      </c>
      <c r="L61" s="10">
        <v>13067.26</v>
      </c>
      <c r="M61" s="10">
        <v>13067.26</v>
      </c>
    </row>
    <row r="62" spans="1:13" x14ac:dyDescent="0.25">
      <c r="A62" s="41">
        <v>202007</v>
      </c>
      <c r="B62" s="41">
        <v>57</v>
      </c>
      <c r="C62" s="42" t="s">
        <v>146</v>
      </c>
      <c r="D62" s="58">
        <v>15126437001549</v>
      </c>
      <c r="E62" s="46" t="b">
        <v>0</v>
      </c>
      <c r="F62" s="46" t="b">
        <v>0</v>
      </c>
      <c r="G62" s="46" t="b">
        <v>1</v>
      </c>
      <c r="H62" s="42" t="s">
        <v>94</v>
      </c>
      <c r="I62" s="42" t="s">
        <v>95</v>
      </c>
      <c r="J62" s="21">
        <v>20</v>
      </c>
      <c r="K62" s="21">
        <v>20</v>
      </c>
      <c r="L62" s="10">
        <v>9857.0499999999993</v>
      </c>
      <c r="M62" s="10">
        <v>9857.0499999999993</v>
      </c>
    </row>
    <row r="63" spans="1:13" x14ac:dyDescent="0.25">
      <c r="A63" s="41">
        <v>202007</v>
      </c>
      <c r="B63" s="41">
        <v>73</v>
      </c>
      <c r="C63" s="42" t="s">
        <v>141</v>
      </c>
      <c r="D63" s="58">
        <v>4307650001298</v>
      </c>
      <c r="E63" s="46" t="b">
        <v>0</v>
      </c>
      <c r="F63" s="46" t="b">
        <v>1</v>
      </c>
      <c r="G63" s="46" t="b">
        <v>1</v>
      </c>
      <c r="H63" s="42" t="s">
        <v>112</v>
      </c>
      <c r="I63" s="42" t="s">
        <v>113</v>
      </c>
      <c r="J63" s="21">
        <v>50</v>
      </c>
      <c r="K63" s="21">
        <v>200</v>
      </c>
      <c r="L63" s="10">
        <v>46032.07</v>
      </c>
      <c r="M63" s="10">
        <v>46032.07</v>
      </c>
    </row>
    <row r="64" spans="1:13" x14ac:dyDescent="0.25">
      <c r="A64" s="41">
        <v>202007</v>
      </c>
      <c r="B64" s="41">
        <v>62</v>
      </c>
      <c r="C64" s="42" t="s">
        <v>132</v>
      </c>
      <c r="D64" s="58">
        <v>12420164000904</v>
      </c>
      <c r="E64" s="46" t="b">
        <v>0</v>
      </c>
      <c r="F64" s="46" t="b">
        <v>1</v>
      </c>
      <c r="G64" s="46" t="b">
        <v>1</v>
      </c>
      <c r="H64" s="42" t="s">
        <v>96</v>
      </c>
      <c r="I64" s="42" t="s">
        <v>122</v>
      </c>
      <c r="J64" s="21">
        <v>50</v>
      </c>
      <c r="K64" s="21">
        <v>50</v>
      </c>
      <c r="L64" s="10">
        <v>46608.7</v>
      </c>
      <c r="M64" s="10">
        <v>46608.7</v>
      </c>
    </row>
    <row r="65" spans="1:13" x14ac:dyDescent="0.25">
      <c r="A65" s="41">
        <v>202007</v>
      </c>
      <c r="B65" s="41">
        <v>64</v>
      </c>
      <c r="C65" s="42" t="s">
        <v>133</v>
      </c>
      <c r="D65" s="58">
        <v>12420164000904</v>
      </c>
      <c r="E65" s="46" t="b">
        <v>0</v>
      </c>
      <c r="F65" s="46" t="b">
        <v>1</v>
      </c>
      <c r="G65" s="46" t="b">
        <v>1</v>
      </c>
      <c r="H65" s="42" t="s">
        <v>96</v>
      </c>
      <c r="I65" s="42" t="s">
        <v>122</v>
      </c>
      <c r="J65" s="21">
        <v>100</v>
      </c>
      <c r="K65" s="21">
        <v>100</v>
      </c>
      <c r="L65" s="10">
        <v>71073.3</v>
      </c>
      <c r="M65" s="10">
        <v>71073.3</v>
      </c>
    </row>
    <row r="66" spans="1:13" x14ac:dyDescent="0.25">
      <c r="A66" s="41">
        <v>202007</v>
      </c>
      <c r="B66" s="41">
        <v>45</v>
      </c>
      <c r="C66" s="42" t="s">
        <v>137</v>
      </c>
      <c r="D66" s="58">
        <v>12420164000904</v>
      </c>
      <c r="E66" s="46" t="b">
        <v>0</v>
      </c>
      <c r="F66" s="46" t="b">
        <v>1</v>
      </c>
      <c r="G66" s="46" t="b">
        <v>1</v>
      </c>
      <c r="H66" s="42" t="s">
        <v>96</v>
      </c>
      <c r="I66" s="42" t="s">
        <v>122</v>
      </c>
      <c r="J66" s="21">
        <v>3886</v>
      </c>
      <c r="K66" s="21">
        <v>3886</v>
      </c>
      <c r="L66" s="10">
        <v>294725.53999999998</v>
      </c>
      <c r="M66" s="10">
        <v>294725.53999999998</v>
      </c>
    </row>
    <row r="67" spans="1:13" x14ac:dyDescent="0.25">
      <c r="A67" s="41">
        <v>202007</v>
      </c>
      <c r="B67" s="41">
        <v>45</v>
      </c>
      <c r="C67" s="42" t="s">
        <v>137</v>
      </c>
      <c r="D67" s="58">
        <v>12420164000904</v>
      </c>
      <c r="E67" s="46" t="b">
        <v>0</v>
      </c>
      <c r="F67" s="46" t="b">
        <v>1</v>
      </c>
      <c r="G67" s="46" t="b">
        <v>1</v>
      </c>
      <c r="H67" s="42" t="s">
        <v>96</v>
      </c>
      <c r="I67" s="42" t="s">
        <v>122</v>
      </c>
      <c r="J67" s="21">
        <v>14</v>
      </c>
      <c r="K67" s="21">
        <v>14</v>
      </c>
      <c r="L67" s="10">
        <v>1061.8</v>
      </c>
      <c r="M67" s="10">
        <v>1061.8</v>
      </c>
    </row>
    <row r="68" spans="1:13" x14ac:dyDescent="0.25">
      <c r="A68" s="41">
        <v>202007</v>
      </c>
      <c r="B68" s="41">
        <v>47</v>
      </c>
      <c r="C68" s="42" t="s">
        <v>111</v>
      </c>
      <c r="D68" s="58">
        <v>12420164000904</v>
      </c>
      <c r="E68" s="46" t="b">
        <v>0</v>
      </c>
      <c r="F68" s="46" t="b">
        <v>1</v>
      </c>
      <c r="G68" s="46" t="b">
        <v>1</v>
      </c>
      <c r="H68" s="42" t="s">
        <v>96</v>
      </c>
      <c r="I68" s="42" t="s">
        <v>122</v>
      </c>
      <c r="J68" s="21">
        <v>120</v>
      </c>
      <c r="K68" s="21">
        <v>120</v>
      </c>
      <c r="L68" s="10">
        <v>13819.82</v>
      </c>
      <c r="M68" s="10">
        <v>13819.82</v>
      </c>
    </row>
    <row r="69" spans="1:13" x14ac:dyDescent="0.25">
      <c r="A69" s="41">
        <v>202007</v>
      </c>
      <c r="B69" s="41">
        <v>73</v>
      </c>
      <c r="C69" s="42" t="s">
        <v>141</v>
      </c>
      <c r="D69" s="58">
        <v>4027894000326</v>
      </c>
      <c r="E69" s="46" t="b">
        <v>0</v>
      </c>
      <c r="F69" s="46" t="b">
        <v>1</v>
      </c>
      <c r="G69" s="46" t="b">
        <v>1</v>
      </c>
      <c r="H69" s="42" t="s">
        <v>112</v>
      </c>
      <c r="I69" s="42" t="s">
        <v>115</v>
      </c>
      <c r="J69" s="21">
        <v>60</v>
      </c>
      <c r="K69" s="21">
        <v>240</v>
      </c>
      <c r="L69" s="10">
        <v>52783.44</v>
      </c>
      <c r="M69" s="10">
        <v>52783.44</v>
      </c>
    </row>
    <row r="70" spans="1:13" x14ac:dyDescent="0.25">
      <c r="A70" s="41">
        <v>202007</v>
      </c>
      <c r="B70" s="41">
        <v>45</v>
      </c>
      <c r="C70" s="42" t="s">
        <v>137</v>
      </c>
      <c r="D70" s="58">
        <v>33781055000216</v>
      </c>
      <c r="E70" s="46" t="b">
        <v>0</v>
      </c>
      <c r="F70" s="46" t="b">
        <v>0</v>
      </c>
      <c r="G70" s="46" t="b">
        <v>1</v>
      </c>
      <c r="H70" s="42" t="s">
        <v>94</v>
      </c>
      <c r="I70" s="42" t="s">
        <v>127</v>
      </c>
      <c r="J70" s="21">
        <v>60</v>
      </c>
      <c r="K70" s="21">
        <v>60</v>
      </c>
      <c r="L70" s="10">
        <v>5760</v>
      </c>
      <c r="M70" s="10">
        <v>5760</v>
      </c>
    </row>
    <row r="71" spans="1:13" x14ac:dyDescent="0.25">
      <c r="A71" s="41">
        <v>202007</v>
      </c>
      <c r="B71" s="41">
        <v>47</v>
      </c>
      <c r="C71" s="42" t="s">
        <v>111</v>
      </c>
      <c r="D71" s="58">
        <v>33781055000216</v>
      </c>
      <c r="E71" s="46" t="b">
        <v>0</v>
      </c>
      <c r="F71" s="46" t="b">
        <v>0</v>
      </c>
      <c r="G71" s="46" t="b">
        <v>1</v>
      </c>
      <c r="H71" s="42" t="s">
        <v>94</v>
      </c>
      <c r="I71" s="42" t="s">
        <v>127</v>
      </c>
      <c r="J71" s="21">
        <v>50</v>
      </c>
      <c r="K71" s="21">
        <v>50</v>
      </c>
      <c r="L71" s="10">
        <v>7600</v>
      </c>
      <c r="M71" s="10">
        <v>7600</v>
      </c>
    </row>
    <row r="72" spans="1:13" x14ac:dyDescent="0.25">
      <c r="A72" s="41">
        <v>202007</v>
      </c>
      <c r="B72" s="41">
        <v>70</v>
      </c>
      <c r="C72" s="42" t="s">
        <v>147</v>
      </c>
      <c r="D72" s="58">
        <v>33781055000216</v>
      </c>
      <c r="E72" s="46" t="b">
        <v>0</v>
      </c>
      <c r="F72" s="46" t="b">
        <v>0</v>
      </c>
      <c r="G72" s="46" t="b">
        <v>1</v>
      </c>
      <c r="H72" s="42" t="s">
        <v>94</v>
      </c>
      <c r="I72" s="42" t="s">
        <v>127</v>
      </c>
      <c r="J72" s="21">
        <v>40</v>
      </c>
      <c r="K72" s="21">
        <v>100</v>
      </c>
      <c r="L72" s="10">
        <v>20493.599999999999</v>
      </c>
      <c r="M72" s="10">
        <v>20493.599999999999</v>
      </c>
    </row>
    <row r="73" spans="1:13" x14ac:dyDescent="0.25">
      <c r="A73" s="41">
        <v>202007</v>
      </c>
      <c r="B73" s="41">
        <v>70</v>
      </c>
      <c r="C73" s="42" t="s">
        <v>139</v>
      </c>
      <c r="D73" s="58">
        <v>33781055000216</v>
      </c>
      <c r="E73" s="46" t="b">
        <v>0</v>
      </c>
      <c r="F73" s="46" t="b">
        <v>0</v>
      </c>
      <c r="G73" s="46" t="b">
        <v>1</v>
      </c>
      <c r="H73" s="42" t="s">
        <v>94</v>
      </c>
      <c r="I73" s="42" t="s">
        <v>127</v>
      </c>
      <c r="J73" s="21">
        <v>100</v>
      </c>
      <c r="K73" s="21">
        <v>500</v>
      </c>
      <c r="L73" s="10">
        <v>98216</v>
      </c>
      <c r="M73" s="10">
        <v>98216</v>
      </c>
    </row>
    <row r="74" spans="1:13" x14ac:dyDescent="0.25">
      <c r="A74" s="41">
        <v>202007</v>
      </c>
      <c r="B74" s="41">
        <v>45</v>
      </c>
      <c r="C74" s="42" t="s">
        <v>137</v>
      </c>
      <c r="D74" s="58">
        <v>4027894000326</v>
      </c>
      <c r="E74" s="46" t="b">
        <v>0</v>
      </c>
      <c r="F74" s="46" t="b">
        <v>1</v>
      </c>
      <c r="G74" s="46" t="b">
        <v>1</v>
      </c>
      <c r="H74" s="42" t="s">
        <v>112</v>
      </c>
      <c r="I74" s="42" t="s">
        <v>115</v>
      </c>
      <c r="J74" s="21">
        <v>2000</v>
      </c>
      <c r="K74" s="21">
        <v>2000</v>
      </c>
      <c r="L74" s="10">
        <v>172204.96</v>
      </c>
      <c r="M74" s="10">
        <v>172204.96</v>
      </c>
    </row>
    <row r="75" spans="1:13" x14ac:dyDescent="0.25">
      <c r="A75" s="41">
        <v>202007</v>
      </c>
      <c r="B75" s="41">
        <v>64</v>
      </c>
      <c r="C75" s="42" t="s">
        <v>133</v>
      </c>
      <c r="D75" s="58">
        <v>4027894000326</v>
      </c>
      <c r="E75" s="46" t="b">
        <v>0</v>
      </c>
      <c r="F75" s="46" t="b">
        <v>1</v>
      </c>
      <c r="G75" s="46" t="b">
        <v>1</v>
      </c>
      <c r="H75" s="42" t="s">
        <v>112</v>
      </c>
      <c r="I75" s="42" t="s">
        <v>115</v>
      </c>
      <c r="J75" s="21">
        <v>100</v>
      </c>
      <c r="K75" s="21">
        <v>100</v>
      </c>
      <c r="L75" s="10">
        <v>90835.57</v>
      </c>
      <c r="M75" s="10">
        <v>90835.57</v>
      </c>
    </row>
    <row r="76" spans="1:13" x14ac:dyDescent="0.25">
      <c r="A76" s="41">
        <v>202007</v>
      </c>
      <c r="B76" s="41">
        <v>62</v>
      </c>
      <c r="C76" s="42" t="s">
        <v>132</v>
      </c>
      <c r="D76" s="58">
        <v>4027894000326</v>
      </c>
      <c r="E76" s="46" t="b">
        <v>0</v>
      </c>
      <c r="F76" s="46" t="b">
        <v>1</v>
      </c>
      <c r="G76" s="46" t="b">
        <v>1</v>
      </c>
      <c r="H76" s="42" t="s">
        <v>112</v>
      </c>
      <c r="I76" s="42" t="s">
        <v>115</v>
      </c>
      <c r="J76" s="21">
        <v>100</v>
      </c>
      <c r="K76" s="21">
        <v>100</v>
      </c>
      <c r="L76" s="10">
        <v>123676.27</v>
      </c>
      <c r="M76" s="10">
        <v>123676.27</v>
      </c>
    </row>
    <row r="77" spans="1:13" x14ac:dyDescent="0.25">
      <c r="A77" s="41">
        <v>202007</v>
      </c>
      <c r="B77" s="41">
        <v>70</v>
      </c>
      <c r="C77" s="42" t="s">
        <v>139</v>
      </c>
      <c r="D77" s="58">
        <v>4027894000326</v>
      </c>
      <c r="E77" s="46" t="b">
        <v>0</v>
      </c>
      <c r="F77" s="46" t="b">
        <v>1</v>
      </c>
      <c r="G77" s="46" t="b">
        <v>1</v>
      </c>
      <c r="H77" s="42" t="s">
        <v>112</v>
      </c>
      <c r="I77" s="42" t="s">
        <v>115</v>
      </c>
      <c r="J77" s="21">
        <v>800</v>
      </c>
      <c r="K77" s="21">
        <v>4000</v>
      </c>
      <c r="L77" s="10">
        <v>819962.36</v>
      </c>
      <c r="M77" s="10">
        <v>819962.36</v>
      </c>
    </row>
    <row r="78" spans="1:13" x14ac:dyDescent="0.25">
      <c r="A78" s="41">
        <v>202007</v>
      </c>
      <c r="B78" s="41">
        <v>47</v>
      </c>
      <c r="C78" s="42" t="s">
        <v>111</v>
      </c>
      <c r="D78" s="58">
        <v>4027894000326</v>
      </c>
      <c r="E78" s="46" t="b">
        <v>0</v>
      </c>
      <c r="F78" s="46" t="b">
        <v>1</v>
      </c>
      <c r="G78" s="46" t="b">
        <v>1</v>
      </c>
      <c r="H78" s="42" t="s">
        <v>112</v>
      </c>
      <c r="I78" s="42" t="s">
        <v>115</v>
      </c>
      <c r="J78" s="21">
        <v>500</v>
      </c>
      <c r="K78" s="21">
        <v>500</v>
      </c>
      <c r="L78" s="10">
        <v>74816.87</v>
      </c>
      <c r="M78" s="10">
        <v>74816.87</v>
      </c>
    </row>
    <row r="79" spans="1:13" x14ac:dyDescent="0.25">
      <c r="A79" s="41">
        <v>202007</v>
      </c>
      <c r="B79" s="41">
        <v>64</v>
      </c>
      <c r="C79" s="42" t="s">
        <v>133</v>
      </c>
      <c r="D79" s="58">
        <v>5816630000152</v>
      </c>
      <c r="E79" s="46" t="b">
        <v>0</v>
      </c>
      <c r="F79" s="46" t="b">
        <v>0</v>
      </c>
      <c r="G79" s="46" t="b">
        <v>1</v>
      </c>
      <c r="H79" s="42" t="s">
        <v>96</v>
      </c>
      <c r="I79" s="42" t="s">
        <v>130</v>
      </c>
      <c r="J79" s="21">
        <v>14</v>
      </c>
      <c r="K79" s="21">
        <v>14</v>
      </c>
      <c r="L79" s="10">
        <v>10309.040000000001</v>
      </c>
      <c r="M79" s="10">
        <v>10309.040000000001</v>
      </c>
    </row>
    <row r="80" spans="1:13" x14ac:dyDescent="0.25">
      <c r="A80" s="41">
        <v>202007</v>
      </c>
      <c r="B80" s="41">
        <v>70</v>
      </c>
      <c r="C80" s="42" t="s">
        <v>139</v>
      </c>
      <c r="D80" s="58">
        <v>4027894000326</v>
      </c>
      <c r="E80" s="46" t="b">
        <v>0</v>
      </c>
      <c r="F80" s="46" t="b">
        <v>1</v>
      </c>
      <c r="G80" s="46" t="b">
        <v>1</v>
      </c>
      <c r="H80" s="42" t="s">
        <v>112</v>
      </c>
      <c r="I80" s="42" t="s">
        <v>115</v>
      </c>
      <c r="J80" s="21">
        <v>200</v>
      </c>
      <c r="K80" s="21">
        <v>1000</v>
      </c>
      <c r="L80" s="10">
        <v>204990.59</v>
      </c>
      <c r="M80" s="10">
        <v>204990.59</v>
      </c>
    </row>
    <row r="81" spans="1:13" x14ac:dyDescent="0.25">
      <c r="A81" s="41">
        <v>202007</v>
      </c>
      <c r="B81" s="41">
        <v>45</v>
      </c>
      <c r="C81" s="42" t="s">
        <v>137</v>
      </c>
      <c r="D81" s="58">
        <v>4027894000326</v>
      </c>
      <c r="E81" s="46" t="b">
        <v>0</v>
      </c>
      <c r="F81" s="46" t="b">
        <v>1</v>
      </c>
      <c r="G81" s="46" t="b">
        <v>1</v>
      </c>
      <c r="H81" s="42" t="s">
        <v>112</v>
      </c>
      <c r="I81" s="42" t="s">
        <v>115</v>
      </c>
      <c r="J81" s="21">
        <v>1000</v>
      </c>
      <c r="K81" s="21">
        <v>1000</v>
      </c>
      <c r="L81" s="10">
        <v>86102.48</v>
      </c>
      <c r="M81" s="10">
        <v>86102.48</v>
      </c>
    </row>
    <row r="82" spans="1:13" x14ac:dyDescent="0.25">
      <c r="A82" s="41">
        <v>202007</v>
      </c>
      <c r="B82" s="41">
        <v>70</v>
      </c>
      <c r="C82" s="42" t="s">
        <v>139</v>
      </c>
      <c r="D82" s="58">
        <v>60448040000122</v>
      </c>
      <c r="E82" s="46" t="b">
        <v>0</v>
      </c>
      <c r="F82" s="46" t="b">
        <v>0</v>
      </c>
      <c r="G82" s="46" t="b">
        <v>1</v>
      </c>
      <c r="H82" s="42" t="s">
        <v>112</v>
      </c>
      <c r="I82" s="42" t="s">
        <v>134</v>
      </c>
      <c r="J82" s="21">
        <v>253</v>
      </c>
      <c r="K82" s="21">
        <v>1265</v>
      </c>
      <c r="L82" s="10">
        <v>230230</v>
      </c>
      <c r="M82" s="10">
        <v>230230</v>
      </c>
    </row>
    <row r="83" spans="1:13" x14ac:dyDescent="0.25">
      <c r="A83" s="41">
        <v>202007</v>
      </c>
      <c r="B83" s="41">
        <v>47</v>
      </c>
      <c r="C83" s="42" t="s">
        <v>111</v>
      </c>
      <c r="D83" s="58">
        <v>4027894000326</v>
      </c>
      <c r="E83" s="46" t="b">
        <v>0</v>
      </c>
      <c r="F83" s="46" t="b">
        <v>1</v>
      </c>
      <c r="G83" s="46" t="b">
        <v>1</v>
      </c>
      <c r="H83" s="42" t="s">
        <v>112</v>
      </c>
      <c r="I83" s="42" t="s">
        <v>115</v>
      </c>
      <c r="J83" s="21">
        <v>500</v>
      </c>
      <c r="K83" s="21">
        <v>500</v>
      </c>
      <c r="L83" s="10">
        <v>74816.87</v>
      </c>
      <c r="M83" s="10">
        <v>74816.87</v>
      </c>
    </row>
    <row r="84" spans="1:13" x14ac:dyDescent="0.25">
      <c r="A84" s="41">
        <v>202007</v>
      </c>
      <c r="B84" s="41">
        <v>62</v>
      </c>
      <c r="C84" s="42" t="s">
        <v>132</v>
      </c>
      <c r="D84" s="58">
        <v>4027894000326</v>
      </c>
      <c r="E84" s="46" t="b">
        <v>0</v>
      </c>
      <c r="F84" s="46" t="b">
        <v>1</v>
      </c>
      <c r="G84" s="46" t="b">
        <v>1</v>
      </c>
      <c r="H84" s="42" t="s">
        <v>112</v>
      </c>
      <c r="I84" s="42" t="s">
        <v>115</v>
      </c>
      <c r="J84" s="21">
        <v>22</v>
      </c>
      <c r="K84" s="21">
        <v>22</v>
      </c>
      <c r="L84" s="10">
        <v>27208.78</v>
      </c>
      <c r="M84" s="10">
        <v>27208.78</v>
      </c>
    </row>
    <row r="85" spans="1:13" x14ac:dyDescent="0.25">
      <c r="A85" s="41">
        <v>202007</v>
      </c>
      <c r="B85" s="41">
        <v>62</v>
      </c>
      <c r="C85" s="42" t="s">
        <v>132</v>
      </c>
      <c r="D85" s="58">
        <v>4027894000326</v>
      </c>
      <c r="E85" s="46" t="b">
        <v>0</v>
      </c>
      <c r="F85" s="46" t="b">
        <v>1</v>
      </c>
      <c r="G85" s="46" t="b">
        <v>1</v>
      </c>
      <c r="H85" s="42" t="s">
        <v>112</v>
      </c>
      <c r="I85" s="42" t="s">
        <v>115</v>
      </c>
      <c r="J85" s="21">
        <v>78</v>
      </c>
      <c r="K85" s="21">
        <v>78</v>
      </c>
      <c r="L85" s="10">
        <v>96467.5</v>
      </c>
      <c r="M85" s="10">
        <v>96467.5</v>
      </c>
    </row>
    <row r="86" spans="1:13" x14ac:dyDescent="0.25">
      <c r="A86" s="41">
        <v>202007</v>
      </c>
      <c r="B86" s="41">
        <v>64</v>
      </c>
      <c r="C86" s="42" t="s">
        <v>133</v>
      </c>
      <c r="D86" s="58">
        <v>4027894000326</v>
      </c>
      <c r="E86" s="46" t="b">
        <v>0</v>
      </c>
      <c r="F86" s="46" t="b">
        <v>1</v>
      </c>
      <c r="G86" s="46" t="b">
        <v>1</v>
      </c>
      <c r="H86" s="42" t="s">
        <v>112</v>
      </c>
      <c r="I86" s="42" t="s">
        <v>115</v>
      </c>
      <c r="J86" s="21">
        <v>50</v>
      </c>
      <c r="K86" s="21">
        <v>50</v>
      </c>
      <c r="L86" s="10">
        <v>45417.79</v>
      </c>
      <c r="M86" s="10">
        <v>45417.79</v>
      </c>
    </row>
    <row r="87" spans="1:13" x14ac:dyDescent="0.25">
      <c r="A87" s="41">
        <v>202007</v>
      </c>
      <c r="B87" s="41">
        <v>64</v>
      </c>
      <c r="C87" s="42" t="s">
        <v>133</v>
      </c>
      <c r="D87" s="58">
        <v>12420164000904</v>
      </c>
      <c r="E87" s="46" t="b">
        <v>0</v>
      </c>
      <c r="F87" s="46" t="b">
        <v>1</v>
      </c>
      <c r="G87" s="46" t="b">
        <v>1</v>
      </c>
      <c r="H87" s="42" t="s">
        <v>96</v>
      </c>
      <c r="I87" s="42" t="s">
        <v>122</v>
      </c>
      <c r="J87" s="21">
        <v>6</v>
      </c>
      <c r="K87" s="21">
        <v>6</v>
      </c>
      <c r="L87" s="10">
        <v>4680.47</v>
      </c>
      <c r="M87" s="10">
        <v>4680.47</v>
      </c>
    </row>
    <row r="88" spans="1:13" x14ac:dyDescent="0.25">
      <c r="A88" s="41">
        <v>202007</v>
      </c>
      <c r="B88" s="41">
        <v>45</v>
      </c>
      <c r="C88" s="42" t="s">
        <v>137</v>
      </c>
      <c r="D88" s="58">
        <v>12420164000904</v>
      </c>
      <c r="E88" s="46" t="b">
        <v>0</v>
      </c>
      <c r="F88" s="46" t="b">
        <v>1</v>
      </c>
      <c r="G88" s="46" t="b">
        <v>1</v>
      </c>
      <c r="H88" s="42" t="s">
        <v>96</v>
      </c>
      <c r="I88" s="42" t="s">
        <v>122</v>
      </c>
      <c r="J88" s="21">
        <v>1550</v>
      </c>
      <c r="K88" s="21">
        <v>1550</v>
      </c>
      <c r="L88" s="10">
        <v>126298.47</v>
      </c>
      <c r="M88" s="10">
        <v>126298.47</v>
      </c>
    </row>
    <row r="89" spans="1:13" x14ac:dyDescent="0.25">
      <c r="A89" s="41">
        <v>202007</v>
      </c>
      <c r="B89" s="41">
        <v>47</v>
      </c>
      <c r="C89" s="42" t="s">
        <v>111</v>
      </c>
      <c r="D89" s="58">
        <v>12420164000904</v>
      </c>
      <c r="E89" s="46" t="b">
        <v>0</v>
      </c>
      <c r="F89" s="46" t="b">
        <v>1</v>
      </c>
      <c r="G89" s="46" t="b">
        <v>1</v>
      </c>
      <c r="H89" s="42" t="s">
        <v>96</v>
      </c>
      <c r="I89" s="42" t="s">
        <v>122</v>
      </c>
      <c r="J89" s="21">
        <v>68</v>
      </c>
      <c r="K89" s="21">
        <v>68</v>
      </c>
      <c r="L89" s="10">
        <v>8720.66</v>
      </c>
      <c r="M89" s="10">
        <v>8720.66</v>
      </c>
    </row>
    <row r="90" spans="1:13" x14ac:dyDescent="0.25">
      <c r="A90" s="41">
        <v>202007</v>
      </c>
      <c r="B90" s="41">
        <v>70</v>
      </c>
      <c r="C90" s="42" t="s">
        <v>139</v>
      </c>
      <c r="D90" s="58">
        <v>12420164000904</v>
      </c>
      <c r="E90" s="46" t="b">
        <v>0</v>
      </c>
      <c r="F90" s="46" t="b">
        <v>1</v>
      </c>
      <c r="G90" s="46" t="b">
        <v>1</v>
      </c>
      <c r="H90" s="42" t="s">
        <v>96</v>
      </c>
      <c r="I90" s="42" t="s">
        <v>122</v>
      </c>
      <c r="J90" s="21">
        <v>740</v>
      </c>
      <c r="K90" s="21">
        <v>3700</v>
      </c>
      <c r="L90" s="10">
        <v>616003.65</v>
      </c>
      <c r="M90" s="10">
        <v>616003.65</v>
      </c>
    </row>
    <row r="91" spans="1:13" x14ac:dyDescent="0.25">
      <c r="A91" s="41">
        <v>202007</v>
      </c>
      <c r="B91" s="41">
        <v>73</v>
      </c>
      <c r="C91" s="42" t="s">
        <v>141</v>
      </c>
      <c r="D91" s="58">
        <v>12420164000904</v>
      </c>
      <c r="E91" s="46" t="b">
        <v>0</v>
      </c>
      <c r="F91" s="46" t="b">
        <v>1</v>
      </c>
      <c r="G91" s="46" t="b">
        <v>1</v>
      </c>
      <c r="H91" s="42" t="s">
        <v>96</v>
      </c>
      <c r="I91" s="42" t="s">
        <v>122</v>
      </c>
      <c r="J91" s="21">
        <v>6</v>
      </c>
      <c r="K91" s="21">
        <v>24</v>
      </c>
      <c r="L91" s="10">
        <v>5051.8599999999997</v>
      </c>
      <c r="M91" s="10">
        <v>5051.8599999999997</v>
      </c>
    </row>
    <row r="92" spans="1:13" x14ac:dyDescent="0.25">
      <c r="A92" s="41">
        <v>202007</v>
      </c>
      <c r="B92" s="41">
        <v>62</v>
      </c>
      <c r="C92" s="42" t="s">
        <v>132</v>
      </c>
      <c r="D92" s="58">
        <v>12420164000904</v>
      </c>
      <c r="E92" s="46" t="b">
        <v>0</v>
      </c>
      <c r="F92" s="46" t="b">
        <v>1</v>
      </c>
      <c r="G92" s="46" t="b">
        <v>1</v>
      </c>
      <c r="H92" s="42" t="s">
        <v>96</v>
      </c>
      <c r="I92" s="42" t="s">
        <v>122</v>
      </c>
      <c r="J92" s="21">
        <v>4</v>
      </c>
      <c r="K92" s="21">
        <v>4</v>
      </c>
      <c r="L92" s="10">
        <v>3728.7</v>
      </c>
      <c r="M92" s="10">
        <v>3728.7</v>
      </c>
    </row>
    <row r="93" spans="1:13" x14ac:dyDescent="0.25">
      <c r="A93" s="41">
        <v>202007</v>
      </c>
      <c r="B93" s="41">
        <v>73</v>
      </c>
      <c r="C93" s="42" t="s">
        <v>135</v>
      </c>
      <c r="D93" s="58">
        <v>12420164000904</v>
      </c>
      <c r="E93" s="46" t="b">
        <v>0</v>
      </c>
      <c r="F93" s="46" t="b">
        <v>1</v>
      </c>
      <c r="G93" s="46" t="b">
        <v>1</v>
      </c>
      <c r="H93" s="42" t="s">
        <v>96</v>
      </c>
      <c r="I93" s="42" t="s">
        <v>122</v>
      </c>
      <c r="J93" s="21">
        <v>2</v>
      </c>
      <c r="K93" s="21">
        <v>2</v>
      </c>
      <c r="L93" s="10">
        <v>421</v>
      </c>
      <c r="M93" s="10">
        <v>421</v>
      </c>
    </row>
    <row r="94" spans="1:13" x14ac:dyDescent="0.25">
      <c r="A94" s="41">
        <v>202007</v>
      </c>
      <c r="B94" s="41">
        <v>73</v>
      </c>
      <c r="C94" s="42" t="s">
        <v>138</v>
      </c>
      <c r="D94" s="58">
        <v>12420164000904</v>
      </c>
      <c r="E94" s="46" t="b">
        <v>0</v>
      </c>
      <c r="F94" s="46" t="b">
        <v>1</v>
      </c>
      <c r="G94" s="46" t="b">
        <v>1</v>
      </c>
      <c r="H94" s="42" t="s">
        <v>96</v>
      </c>
      <c r="I94" s="42" t="s">
        <v>122</v>
      </c>
      <c r="J94" s="21">
        <v>2</v>
      </c>
      <c r="K94" s="21">
        <v>4</v>
      </c>
      <c r="L94" s="10">
        <v>841.98</v>
      </c>
      <c r="M94" s="10">
        <v>841.98</v>
      </c>
    </row>
    <row r="95" spans="1:13" x14ac:dyDescent="0.25">
      <c r="A95" s="41">
        <v>202007</v>
      </c>
      <c r="B95" s="41">
        <v>62</v>
      </c>
      <c r="C95" s="42" t="s">
        <v>132</v>
      </c>
      <c r="D95" s="58">
        <v>12420164000904</v>
      </c>
      <c r="E95" s="46" t="b">
        <v>0</v>
      </c>
      <c r="F95" s="46" t="b">
        <v>1</v>
      </c>
      <c r="G95" s="46" t="b">
        <v>1</v>
      </c>
      <c r="H95" s="42" t="s">
        <v>96</v>
      </c>
      <c r="I95" s="42" t="s">
        <v>122</v>
      </c>
      <c r="J95" s="21">
        <v>14</v>
      </c>
      <c r="K95" s="21">
        <v>14</v>
      </c>
      <c r="L95" s="10">
        <v>13050.44</v>
      </c>
      <c r="M95" s="10">
        <v>13050.44</v>
      </c>
    </row>
    <row r="96" spans="1:13" x14ac:dyDescent="0.25">
      <c r="A96" s="41">
        <v>202007</v>
      </c>
      <c r="B96" s="41">
        <v>64</v>
      </c>
      <c r="C96" s="42" t="s">
        <v>133</v>
      </c>
      <c r="D96" s="58">
        <v>12420164000904</v>
      </c>
      <c r="E96" s="46" t="b">
        <v>0</v>
      </c>
      <c r="F96" s="46" t="b">
        <v>1</v>
      </c>
      <c r="G96" s="46" t="b">
        <v>1</v>
      </c>
      <c r="H96" s="42" t="s">
        <v>96</v>
      </c>
      <c r="I96" s="42" t="s">
        <v>122</v>
      </c>
      <c r="J96" s="21">
        <v>74</v>
      </c>
      <c r="K96" s="21">
        <v>74</v>
      </c>
      <c r="L96" s="10">
        <v>52594.239999999998</v>
      </c>
      <c r="M96" s="10">
        <v>52594.239999999998</v>
      </c>
    </row>
    <row r="97" spans="1:13" x14ac:dyDescent="0.25">
      <c r="A97" s="41">
        <v>202007</v>
      </c>
      <c r="B97" s="41">
        <v>45</v>
      </c>
      <c r="C97" s="42" t="s">
        <v>137</v>
      </c>
      <c r="D97" s="58">
        <v>12420164000904</v>
      </c>
      <c r="E97" s="46" t="b">
        <v>0</v>
      </c>
      <c r="F97" s="46" t="b">
        <v>1</v>
      </c>
      <c r="G97" s="46" t="b">
        <v>1</v>
      </c>
      <c r="H97" s="42" t="s">
        <v>96</v>
      </c>
      <c r="I97" s="42" t="s">
        <v>122</v>
      </c>
      <c r="J97" s="21">
        <v>1792</v>
      </c>
      <c r="K97" s="21">
        <v>1792</v>
      </c>
      <c r="L97" s="10">
        <v>135910.49</v>
      </c>
      <c r="M97" s="10">
        <v>135910.49</v>
      </c>
    </row>
    <row r="98" spans="1:13" x14ac:dyDescent="0.25">
      <c r="A98" s="41">
        <v>202007</v>
      </c>
      <c r="B98" s="41">
        <v>47</v>
      </c>
      <c r="C98" s="42" t="s">
        <v>111</v>
      </c>
      <c r="D98" s="58">
        <v>12420164000904</v>
      </c>
      <c r="E98" s="46" t="b">
        <v>0</v>
      </c>
      <c r="F98" s="46" t="b">
        <v>1</v>
      </c>
      <c r="G98" s="46" t="b">
        <v>1</v>
      </c>
      <c r="H98" s="42" t="s">
        <v>96</v>
      </c>
      <c r="I98" s="42" t="s">
        <v>122</v>
      </c>
      <c r="J98" s="21">
        <v>87</v>
      </c>
      <c r="K98" s="21">
        <v>87</v>
      </c>
      <c r="L98" s="10">
        <v>10019.370000000001</v>
      </c>
      <c r="M98" s="10">
        <v>10019.370000000001</v>
      </c>
    </row>
    <row r="99" spans="1:13" x14ac:dyDescent="0.25">
      <c r="A99" s="41">
        <v>202007</v>
      </c>
      <c r="B99" s="41">
        <v>66</v>
      </c>
      <c r="C99" s="42" t="s">
        <v>43</v>
      </c>
      <c r="D99" s="58">
        <v>5268490000125</v>
      </c>
      <c r="E99" s="46" t="b">
        <v>0</v>
      </c>
      <c r="F99" s="46" t="b">
        <v>1</v>
      </c>
      <c r="G99" s="46" t="b">
        <v>1</v>
      </c>
      <c r="H99" s="42" t="s">
        <v>96</v>
      </c>
      <c r="I99" s="42" t="s">
        <v>117</v>
      </c>
      <c r="J99" s="21">
        <v>57</v>
      </c>
      <c r="K99" s="21">
        <v>57</v>
      </c>
      <c r="L99" s="10">
        <v>71381.039999999994</v>
      </c>
      <c r="M99" s="10">
        <v>71381.039999999994</v>
      </c>
    </row>
    <row r="100" spans="1:13" x14ac:dyDescent="0.25">
      <c r="A100" s="41">
        <v>202007</v>
      </c>
      <c r="B100" s="41">
        <v>45</v>
      </c>
      <c r="C100" s="42" t="s">
        <v>137</v>
      </c>
      <c r="D100" s="58">
        <v>12420164000904</v>
      </c>
      <c r="E100" s="46" t="b">
        <v>0</v>
      </c>
      <c r="F100" s="46" t="b">
        <v>1</v>
      </c>
      <c r="G100" s="46" t="b">
        <v>1</v>
      </c>
      <c r="H100" s="42" t="s">
        <v>96</v>
      </c>
      <c r="I100" s="42" t="s">
        <v>122</v>
      </c>
      <c r="J100" s="21">
        <v>5000</v>
      </c>
      <c r="K100" s="21">
        <v>5000</v>
      </c>
      <c r="L100" s="10">
        <v>430512.38</v>
      </c>
      <c r="M100" s="10">
        <v>430512.38</v>
      </c>
    </row>
    <row r="101" spans="1:13" x14ac:dyDescent="0.25">
      <c r="A101" s="41">
        <v>202007</v>
      </c>
      <c r="B101" s="41">
        <v>64</v>
      </c>
      <c r="C101" s="42" t="s">
        <v>133</v>
      </c>
      <c r="D101" s="58">
        <v>12420164000904</v>
      </c>
      <c r="E101" s="46" t="b">
        <v>0</v>
      </c>
      <c r="F101" s="46" t="b">
        <v>1</v>
      </c>
      <c r="G101" s="46" t="b">
        <v>1</v>
      </c>
      <c r="H101" s="42" t="s">
        <v>96</v>
      </c>
      <c r="I101" s="42" t="s">
        <v>122</v>
      </c>
      <c r="J101" s="21">
        <v>10</v>
      </c>
      <c r="K101" s="21">
        <v>10</v>
      </c>
      <c r="L101" s="10">
        <v>7107.33</v>
      </c>
      <c r="M101" s="10">
        <v>7107.33</v>
      </c>
    </row>
    <row r="102" spans="1:13" x14ac:dyDescent="0.25">
      <c r="A102" s="41">
        <v>202007</v>
      </c>
      <c r="B102" s="41">
        <v>45</v>
      </c>
      <c r="C102" s="42" t="s">
        <v>137</v>
      </c>
      <c r="D102" s="58">
        <v>12420164000904</v>
      </c>
      <c r="E102" s="46" t="b">
        <v>0</v>
      </c>
      <c r="F102" s="46" t="b">
        <v>1</v>
      </c>
      <c r="G102" s="46" t="b">
        <v>1</v>
      </c>
      <c r="H102" s="42" t="s">
        <v>96</v>
      </c>
      <c r="I102" s="42" t="s">
        <v>122</v>
      </c>
      <c r="J102" s="21">
        <v>1607</v>
      </c>
      <c r="K102" s="21">
        <v>1607</v>
      </c>
      <c r="L102" s="10">
        <v>121879.55</v>
      </c>
      <c r="M102" s="10">
        <v>121879.55</v>
      </c>
    </row>
    <row r="103" spans="1:13" x14ac:dyDescent="0.25">
      <c r="A103" s="41">
        <v>202007</v>
      </c>
      <c r="B103" s="41">
        <v>45</v>
      </c>
      <c r="C103" s="42" t="s">
        <v>137</v>
      </c>
      <c r="D103" s="58">
        <v>12420164000904</v>
      </c>
      <c r="E103" s="46" t="b">
        <v>0</v>
      </c>
      <c r="F103" s="46" t="b">
        <v>1</v>
      </c>
      <c r="G103" s="46" t="b">
        <v>1</v>
      </c>
      <c r="H103" s="42" t="s">
        <v>96</v>
      </c>
      <c r="I103" s="42" t="s">
        <v>122</v>
      </c>
      <c r="J103" s="21">
        <v>356</v>
      </c>
      <c r="K103" s="21">
        <v>356</v>
      </c>
      <c r="L103" s="10">
        <v>27000.080000000002</v>
      </c>
      <c r="M103" s="10">
        <v>27000.080000000002</v>
      </c>
    </row>
    <row r="104" spans="1:13" x14ac:dyDescent="0.25">
      <c r="A104" s="41">
        <v>202007</v>
      </c>
      <c r="B104" s="41">
        <v>56</v>
      </c>
      <c r="C104" s="42" t="s">
        <v>136</v>
      </c>
      <c r="D104" s="58">
        <v>12420164000904</v>
      </c>
      <c r="E104" s="46" t="b">
        <v>0</v>
      </c>
      <c r="F104" s="46" t="b">
        <v>1</v>
      </c>
      <c r="G104" s="46" t="b">
        <v>1</v>
      </c>
      <c r="H104" s="42" t="s">
        <v>96</v>
      </c>
      <c r="I104" s="42" t="s">
        <v>122</v>
      </c>
      <c r="J104" s="21">
        <v>10</v>
      </c>
      <c r="K104" s="21">
        <v>10</v>
      </c>
      <c r="L104" s="10">
        <v>310.85000000000002</v>
      </c>
      <c r="M104" s="10">
        <v>310.85000000000002</v>
      </c>
    </row>
    <row r="105" spans="1:13" x14ac:dyDescent="0.25">
      <c r="A105" s="41">
        <v>202007</v>
      </c>
      <c r="B105" s="41">
        <v>64</v>
      </c>
      <c r="C105" s="42" t="s">
        <v>133</v>
      </c>
      <c r="D105" s="58">
        <v>12420164000904</v>
      </c>
      <c r="E105" s="46" t="b">
        <v>0</v>
      </c>
      <c r="F105" s="46" t="b">
        <v>1</v>
      </c>
      <c r="G105" s="46" t="b">
        <v>1</v>
      </c>
      <c r="H105" s="42" t="s">
        <v>96</v>
      </c>
      <c r="I105" s="42" t="s">
        <v>122</v>
      </c>
      <c r="J105" s="21">
        <v>60</v>
      </c>
      <c r="K105" s="21">
        <v>60</v>
      </c>
      <c r="L105" s="10">
        <v>46804.69</v>
      </c>
      <c r="M105" s="10">
        <v>46804.69</v>
      </c>
    </row>
    <row r="106" spans="1:13" x14ac:dyDescent="0.25">
      <c r="A106" s="41">
        <v>202007</v>
      </c>
      <c r="B106" s="41">
        <v>45</v>
      </c>
      <c r="C106" s="42" t="s">
        <v>137</v>
      </c>
      <c r="D106" s="58">
        <v>12420164000904</v>
      </c>
      <c r="E106" s="46" t="b">
        <v>0</v>
      </c>
      <c r="F106" s="46" t="b">
        <v>1</v>
      </c>
      <c r="G106" s="46" t="b">
        <v>1</v>
      </c>
      <c r="H106" s="42" t="s">
        <v>96</v>
      </c>
      <c r="I106" s="42" t="s">
        <v>122</v>
      </c>
      <c r="J106" s="21">
        <v>20</v>
      </c>
      <c r="K106" s="21">
        <v>20</v>
      </c>
      <c r="L106" s="10">
        <v>1629.66</v>
      </c>
      <c r="M106" s="10">
        <v>1629.66</v>
      </c>
    </row>
    <row r="107" spans="1:13" x14ac:dyDescent="0.25">
      <c r="A107" s="41">
        <v>202007</v>
      </c>
      <c r="B107" s="41">
        <v>47</v>
      </c>
      <c r="C107" s="42" t="s">
        <v>111</v>
      </c>
      <c r="D107" s="58">
        <v>12420164000904</v>
      </c>
      <c r="E107" s="46" t="b">
        <v>0</v>
      </c>
      <c r="F107" s="46" t="b">
        <v>1</v>
      </c>
      <c r="G107" s="46" t="b">
        <v>1</v>
      </c>
      <c r="H107" s="42" t="s">
        <v>96</v>
      </c>
      <c r="I107" s="42" t="s">
        <v>122</v>
      </c>
      <c r="J107" s="21">
        <v>20</v>
      </c>
      <c r="K107" s="21">
        <v>20</v>
      </c>
      <c r="L107" s="10">
        <v>2564.9</v>
      </c>
      <c r="M107" s="10">
        <v>2564.9</v>
      </c>
    </row>
    <row r="108" spans="1:13" x14ac:dyDescent="0.25">
      <c r="A108" s="41">
        <v>202007</v>
      </c>
      <c r="B108" s="41">
        <v>70</v>
      </c>
      <c r="C108" s="42" t="s">
        <v>139</v>
      </c>
      <c r="D108" s="58">
        <v>12420164000904</v>
      </c>
      <c r="E108" s="46" t="b">
        <v>0</v>
      </c>
      <c r="F108" s="46" t="b">
        <v>1</v>
      </c>
      <c r="G108" s="46" t="b">
        <v>1</v>
      </c>
      <c r="H108" s="42" t="s">
        <v>96</v>
      </c>
      <c r="I108" s="42" t="s">
        <v>122</v>
      </c>
      <c r="J108" s="21">
        <v>951</v>
      </c>
      <c r="K108" s="21">
        <v>4755</v>
      </c>
      <c r="L108" s="10">
        <v>791647.94</v>
      </c>
      <c r="M108" s="10">
        <v>791647.94</v>
      </c>
    </row>
    <row r="109" spans="1:13" x14ac:dyDescent="0.25">
      <c r="A109" s="41">
        <v>202007</v>
      </c>
      <c r="B109" s="41">
        <v>73</v>
      </c>
      <c r="C109" s="42" t="s">
        <v>141</v>
      </c>
      <c r="D109" s="58">
        <v>12420164000904</v>
      </c>
      <c r="E109" s="46" t="b">
        <v>0</v>
      </c>
      <c r="F109" s="46" t="b">
        <v>1</v>
      </c>
      <c r="G109" s="46" t="b">
        <v>1</v>
      </c>
      <c r="H109" s="42" t="s">
        <v>96</v>
      </c>
      <c r="I109" s="42" t="s">
        <v>122</v>
      </c>
      <c r="J109" s="21">
        <v>21</v>
      </c>
      <c r="K109" s="21">
        <v>84</v>
      </c>
      <c r="L109" s="10">
        <v>17681.53</v>
      </c>
      <c r="M109" s="10">
        <v>17681.53</v>
      </c>
    </row>
    <row r="110" spans="1:13" x14ac:dyDescent="0.25">
      <c r="A110" s="41">
        <v>202007</v>
      </c>
      <c r="B110" s="41">
        <v>62</v>
      </c>
      <c r="C110" s="42" t="s">
        <v>132</v>
      </c>
      <c r="D110" s="58">
        <v>12420164000904</v>
      </c>
      <c r="E110" s="46" t="b">
        <v>0</v>
      </c>
      <c r="F110" s="46" t="b">
        <v>1</v>
      </c>
      <c r="G110" s="46" t="b">
        <v>1</v>
      </c>
      <c r="H110" s="42" t="s">
        <v>96</v>
      </c>
      <c r="I110" s="42" t="s">
        <v>122</v>
      </c>
      <c r="J110" s="21">
        <v>112</v>
      </c>
      <c r="K110" s="21">
        <v>112</v>
      </c>
      <c r="L110" s="10">
        <v>104403.48</v>
      </c>
      <c r="M110" s="10">
        <v>104403.48</v>
      </c>
    </row>
    <row r="111" spans="1:13" x14ac:dyDescent="0.25">
      <c r="A111" s="41">
        <v>202007</v>
      </c>
      <c r="B111" s="41">
        <v>73</v>
      </c>
      <c r="C111" s="42" t="s">
        <v>138</v>
      </c>
      <c r="D111" s="58">
        <v>12420164000904</v>
      </c>
      <c r="E111" s="46" t="b">
        <v>0</v>
      </c>
      <c r="F111" s="46" t="b">
        <v>1</v>
      </c>
      <c r="G111" s="46" t="b">
        <v>1</v>
      </c>
      <c r="H111" s="42" t="s">
        <v>96</v>
      </c>
      <c r="I111" s="42" t="s">
        <v>122</v>
      </c>
      <c r="J111" s="21">
        <v>2</v>
      </c>
      <c r="K111" s="21">
        <v>4</v>
      </c>
      <c r="L111" s="10">
        <v>841.98</v>
      </c>
      <c r="M111" s="10">
        <v>841.98</v>
      </c>
    </row>
    <row r="112" spans="1:13" x14ac:dyDescent="0.25">
      <c r="A112" s="41">
        <v>202007</v>
      </c>
      <c r="B112" s="41">
        <v>47</v>
      </c>
      <c r="C112" s="42" t="s">
        <v>111</v>
      </c>
      <c r="D112" s="58">
        <v>31378288000166</v>
      </c>
      <c r="E112" s="46" t="b">
        <v>0</v>
      </c>
      <c r="F112" s="46" t="b">
        <v>1</v>
      </c>
      <c r="G112" s="46" t="b">
        <v>1</v>
      </c>
      <c r="H112" s="42" t="s">
        <v>112</v>
      </c>
      <c r="I112" s="42" t="s">
        <v>115</v>
      </c>
      <c r="J112" s="21">
        <v>1500</v>
      </c>
      <c r="K112" s="21">
        <v>1500</v>
      </c>
      <c r="L112" s="10">
        <v>216526.25</v>
      </c>
      <c r="M112" s="10">
        <v>216526.25</v>
      </c>
    </row>
    <row r="113" spans="1:13" x14ac:dyDescent="0.25">
      <c r="A113" s="41">
        <v>202007</v>
      </c>
      <c r="B113" s="41">
        <v>56</v>
      </c>
      <c r="C113" s="42" t="s">
        <v>136</v>
      </c>
      <c r="D113" s="58">
        <v>31378288000166</v>
      </c>
      <c r="E113" s="46" t="b">
        <v>0</v>
      </c>
      <c r="F113" s="46" t="b">
        <v>1</v>
      </c>
      <c r="G113" s="46" t="b">
        <v>1</v>
      </c>
      <c r="H113" s="42" t="s">
        <v>112</v>
      </c>
      <c r="I113" s="42" t="s">
        <v>115</v>
      </c>
      <c r="J113" s="21">
        <v>150</v>
      </c>
      <c r="K113" s="21">
        <v>150</v>
      </c>
      <c r="L113" s="10">
        <v>5472.42</v>
      </c>
      <c r="M113" s="10">
        <v>5472.42</v>
      </c>
    </row>
    <row r="114" spans="1:13" x14ac:dyDescent="0.25">
      <c r="A114" s="41">
        <v>202007</v>
      </c>
      <c r="B114" s="41">
        <v>60</v>
      </c>
      <c r="C114" s="42" t="s">
        <v>149</v>
      </c>
      <c r="D114" s="58">
        <v>31378288000166</v>
      </c>
      <c r="E114" s="46" t="b">
        <v>0</v>
      </c>
      <c r="F114" s="46" t="b">
        <v>1</v>
      </c>
      <c r="G114" s="46" t="b">
        <v>1</v>
      </c>
      <c r="H114" s="42" t="s">
        <v>112</v>
      </c>
      <c r="I114" s="42" t="s">
        <v>115</v>
      </c>
      <c r="J114" s="21">
        <v>10</v>
      </c>
      <c r="K114" s="21">
        <v>10</v>
      </c>
      <c r="L114" s="10">
        <v>7630.52</v>
      </c>
      <c r="M114" s="10">
        <v>7630.52</v>
      </c>
    </row>
    <row r="115" spans="1:13" x14ac:dyDescent="0.25">
      <c r="A115" s="41">
        <v>202007</v>
      </c>
      <c r="B115" s="41">
        <v>45</v>
      </c>
      <c r="C115" s="42" t="s">
        <v>137</v>
      </c>
      <c r="D115" s="58">
        <v>19843929002820</v>
      </c>
      <c r="E115" s="46" t="b">
        <v>0</v>
      </c>
      <c r="F115" s="46" t="b">
        <v>0</v>
      </c>
      <c r="G115" s="46" t="b">
        <v>1</v>
      </c>
      <c r="H115" s="42" t="s">
        <v>94</v>
      </c>
      <c r="I115" s="42" t="s">
        <v>95</v>
      </c>
      <c r="J115" s="21">
        <v>350</v>
      </c>
      <c r="K115" s="21">
        <v>350</v>
      </c>
      <c r="L115" s="10">
        <v>30996</v>
      </c>
      <c r="M115" s="10">
        <v>30996</v>
      </c>
    </row>
    <row r="116" spans="1:13" x14ac:dyDescent="0.25">
      <c r="A116" s="41">
        <v>202007</v>
      </c>
      <c r="B116" s="41">
        <v>70</v>
      </c>
      <c r="C116" s="42" t="s">
        <v>139</v>
      </c>
      <c r="D116" s="58">
        <v>19843929002820</v>
      </c>
      <c r="E116" s="46" t="b">
        <v>0</v>
      </c>
      <c r="F116" s="46" t="b">
        <v>0</v>
      </c>
      <c r="G116" s="46" t="b">
        <v>1</v>
      </c>
      <c r="H116" s="42" t="s">
        <v>94</v>
      </c>
      <c r="I116" s="42" t="s">
        <v>95</v>
      </c>
      <c r="J116" s="21">
        <v>64</v>
      </c>
      <c r="K116" s="21">
        <v>320</v>
      </c>
      <c r="L116" s="10">
        <v>63680</v>
      </c>
      <c r="M116" s="10">
        <v>63680</v>
      </c>
    </row>
    <row r="117" spans="1:13" x14ac:dyDescent="0.25">
      <c r="A117" s="41">
        <v>202007</v>
      </c>
      <c r="B117" s="41">
        <v>45</v>
      </c>
      <c r="C117" s="42" t="s">
        <v>137</v>
      </c>
      <c r="D117" s="58">
        <v>46374500011048</v>
      </c>
      <c r="E117" s="46" t="b">
        <v>0</v>
      </c>
      <c r="F117" s="46" t="b">
        <v>0</v>
      </c>
      <c r="G117" s="46" t="b">
        <v>1</v>
      </c>
      <c r="H117" s="42" t="s">
        <v>112</v>
      </c>
      <c r="I117" s="42" t="s">
        <v>120</v>
      </c>
      <c r="J117" s="21">
        <v>50</v>
      </c>
      <c r="K117" s="21">
        <v>50</v>
      </c>
      <c r="L117" s="10">
        <v>4425</v>
      </c>
      <c r="M117" s="10">
        <v>4425</v>
      </c>
    </row>
    <row r="118" spans="1:13" x14ac:dyDescent="0.25">
      <c r="A118" s="41">
        <v>202007</v>
      </c>
      <c r="B118" s="41">
        <v>73</v>
      </c>
      <c r="C118" s="42" t="s">
        <v>138</v>
      </c>
      <c r="D118" s="58">
        <v>4355394000151</v>
      </c>
      <c r="E118" s="46" t="b">
        <v>0</v>
      </c>
      <c r="F118" s="46" t="b">
        <v>1</v>
      </c>
      <c r="G118" s="46" t="b">
        <v>1</v>
      </c>
      <c r="H118" s="42" t="s">
        <v>94</v>
      </c>
      <c r="I118" s="42" t="s">
        <v>128</v>
      </c>
      <c r="J118" s="21">
        <v>50</v>
      </c>
      <c r="K118" s="21">
        <v>100</v>
      </c>
      <c r="L118" s="10">
        <v>23232</v>
      </c>
      <c r="M118" s="10">
        <v>23232</v>
      </c>
    </row>
    <row r="119" spans="1:13" x14ac:dyDescent="0.25">
      <c r="A119" s="41">
        <v>202007</v>
      </c>
      <c r="B119" s="41">
        <v>45</v>
      </c>
      <c r="C119" s="42" t="s">
        <v>137</v>
      </c>
      <c r="D119" s="58">
        <v>31378288000166</v>
      </c>
      <c r="E119" s="46" t="b">
        <v>0</v>
      </c>
      <c r="F119" s="46" t="b">
        <v>1</v>
      </c>
      <c r="G119" s="46" t="b">
        <v>1</v>
      </c>
      <c r="H119" s="42" t="s">
        <v>112</v>
      </c>
      <c r="I119" s="42" t="s">
        <v>115</v>
      </c>
      <c r="J119" s="21">
        <v>3500</v>
      </c>
      <c r="K119" s="21">
        <v>3500</v>
      </c>
      <c r="L119" s="10">
        <v>269799.73</v>
      </c>
      <c r="M119" s="10">
        <v>269799.73</v>
      </c>
    </row>
    <row r="120" spans="1:13" x14ac:dyDescent="0.25">
      <c r="A120" s="41">
        <v>202007</v>
      </c>
      <c r="B120" s="41">
        <v>73</v>
      </c>
      <c r="C120" s="42" t="s">
        <v>135</v>
      </c>
      <c r="D120" s="58">
        <v>57722118000302</v>
      </c>
      <c r="E120" s="46" t="b">
        <v>0</v>
      </c>
      <c r="F120" s="46" t="b">
        <v>0</v>
      </c>
      <c r="G120" s="46" t="b">
        <v>1</v>
      </c>
      <c r="H120" s="42" t="s">
        <v>112</v>
      </c>
      <c r="I120" s="42" t="s">
        <v>115</v>
      </c>
      <c r="J120" s="21">
        <v>30</v>
      </c>
      <c r="K120" s="21">
        <v>30</v>
      </c>
      <c r="L120" s="10">
        <v>6130.5</v>
      </c>
      <c r="M120" s="10">
        <v>6130.5</v>
      </c>
    </row>
    <row r="121" spans="1:13" x14ac:dyDescent="0.25">
      <c r="A121" s="41">
        <v>202007</v>
      </c>
      <c r="B121" s="41">
        <v>45</v>
      </c>
      <c r="C121" s="42" t="s">
        <v>137</v>
      </c>
      <c r="D121" s="58">
        <v>5268490000125</v>
      </c>
      <c r="E121" s="46" t="b">
        <v>0</v>
      </c>
      <c r="F121" s="46" t="b">
        <v>1</v>
      </c>
      <c r="G121" s="46" t="b">
        <v>1</v>
      </c>
      <c r="H121" s="42" t="s">
        <v>96</v>
      </c>
      <c r="I121" s="42" t="s">
        <v>117</v>
      </c>
      <c r="J121" s="21">
        <v>100</v>
      </c>
      <c r="K121" s="21">
        <v>100</v>
      </c>
      <c r="L121" s="10">
        <v>8690.94</v>
      </c>
      <c r="M121" s="10">
        <v>8690.94</v>
      </c>
    </row>
    <row r="122" spans="1:13" x14ac:dyDescent="0.25">
      <c r="A122" s="41">
        <v>202007</v>
      </c>
      <c r="B122" s="41">
        <v>73</v>
      </c>
      <c r="C122" s="42" t="s">
        <v>141</v>
      </c>
      <c r="D122" s="58">
        <v>10942995000163</v>
      </c>
      <c r="E122" s="46" t="b">
        <v>0</v>
      </c>
      <c r="F122" s="46" t="b">
        <v>0</v>
      </c>
      <c r="G122" s="46" t="b">
        <v>1</v>
      </c>
      <c r="H122" s="42" t="s">
        <v>96</v>
      </c>
      <c r="I122" s="42" t="s">
        <v>122</v>
      </c>
      <c r="J122" s="21">
        <v>60</v>
      </c>
      <c r="K122" s="21">
        <v>240</v>
      </c>
      <c r="L122" s="10">
        <v>49044.53</v>
      </c>
      <c r="M122" s="10">
        <v>49044.53</v>
      </c>
    </row>
    <row r="123" spans="1:13" x14ac:dyDescent="0.25">
      <c r="A123" s="41">
        <v>202007</v>
      </c>
      <c r="B123" s="41">
        <v>47</v>
      </c>
      <c r="C123" s="42" t="s">
        <v>111</v>
      </c>
      <c r="D123" s="58">
        <v>21895020000148</v>
      </c>
      <c r="E123" s="46" t="b">
        <v>0</v>
      </c>
      <c r="F123" s="46" t="b">
        <v>1</v>
      </c>
      <c r="G123" s="46" t="b">
        <v>1</v>
      </c>
      <c r="H123" s="42" t="s">
        <v>96</v>
      </c>
      <c r="I123" s="42" t="s">
        <v>97</v>
      </c>
      <c r="J123" s="21">
        <v>300</v>
      </c>
      <c r="K123" s="21">
        <v>300</v>
      </c>
      <c r="L123" s="10">
        <v>44346.07</v>
      </c>
      <c r="M123" s="10">
        <v>44346.07</v>
      </c>
    </row>
    <row r="124" spans="1:13" x14ac:dyDescent="0.25">
      <c r="A124" s="41">
        <v>202007</v>
      </c>
      <c r="B124" s="41">
        <v>64</v>
      </c>
      <c r="C124" s="42" t="s">
        <v>133</v>
      </c>
      <c r="D124" s="58">
        <v>92787118000391</v>
      </c>
      <c r="E124" s="46" t="b">
        <v>0</v>
      </c>
      <c r="F124" s="46" t="b">
        <v>0</v>
      </c>
      <c r="G124" s="46" t="b">
        <v>1</v>
      </c>
      <c r="H124" s="42" t="s">
        <v>94</v>
      </c>
      <c r="I124" s="42" t="s">
        <v>126</v>
      </c>
      <c r="J124" s="21">
        <v>15</v>
      </c>
      <c r="K124" s="21">
        <v>15</v>
      </c>
      <c r="L124" s="10">
        <v>11070</v>
      </c>
      <c r="M124" s="10">
        <v>11070</v>
      </c>
    </row>
    <row r="125" spans="1:13" x14ac:dyDescent="0.25">
      <c r="A125" s="41">
        <v>202007</v>
      </c>
      <c r="B125" s="41">
        <v>45</v>
      </c>
      <c r="C125" s="42" t="s">
        <v>137</v>
      </c>
      <c r="D125" s="58">
        <v>37396017000624</v>
      </c>
      <c r="E125" s="46" t="b">
        <v>0</v>
      </c>
      <c r="F125" s="46" t="b">
        <v>1</v>
      </c>
      <c r="G125" s="46" t="b">
        <v>1</v>
      </c>
      <c r="H125" s="42" t="s">
        <v>96</v>
      </c>
      <c r="I125" s="42" t="s">
        <v>122</v>
      </c>
      <c r="J125" s="21">
        <v>420</v>
      </c>
      <c r="K125" s="21">
        <v>420</v>
      </c>
      <c r="L125" s="10">
        <v>40298.559999999998</v>
      </c>
      <c r="M125" s="10">
        <v>40298.559999999998</v>
      </c>
    </row>
    <row r="126" spans="1:13" x14ac:dyDescent="0.25">
      <c r="A126" s="41">
        <v>202007</v>
      </c>
      <c r="B126" s="41">
        <v>73</v>
      </c>
      <c r="C126" s="42" t="s">
        <v>141</v>
      </c>
      <c r="D126" s="58">
        <v>5268490000125</v>
      </c>
      <c r="E126" s="46" t="b">
        <v>0</v>
      </c>
      <c r="F126" s="46" t="b">
        <v>1</v>
      </c>
      <c r="G126" s="46" t="b">
        <v>1</v>
      </c>
      <c r="H126" s="42" t="s">
        <v>96</v>
      </c>
      <c r="I126" s="42" t="s">
        <v>117</v>
      </c>
      <c r="J126" s="21">
        <v>30</v>
      </c>
      <c r="K126" s="21">
        <v>120</v>
      </c>
      <c r="L126" s="10">
        <v>27877.81</v>
      </c>
      <c r="M126" s="10">
        <v>27877.81</v>
      </c>
    </row>
    <row r="127" spans="1:13" x14ac:dyDescent="0.25">
      <c r="A127" s="41">
        <v>202007</v>
      </c>
      <c r="B127" s="41">
        <v>73</v>
      </c>
      <c r="C127" s="42" t="s">
        <v>135</v>
      </c>
      <c r="D127" s="58">
        <v>5268490000125</v>
      </c>
      <c r="E127" s="46" t="b">
        <v>0</v>
      </c>
      <c r="F127" s="46" t="b">
        <v>1</v>
      </c>
      <c r="G127" s="46" t="b">
        <v>1</v>
      </c>
      <c r="H127" s="42" t="s">
        <v>96</v>
      </c>
      <c r="I127" s="42" t="s">
        <v>117</v>
      </c>
      <c r="J127" s="21">
        <v>30</v>
      </c>
      <c r="K127" s="21">
        <v>30</v>
      </c>
      <c r="L127" s="10">
        <v>6969.33</v>
      </c>
      <c r="M127" s="10">
        <v>6969.33</v>
      </c>
    </row>
    <row r="128" spans="1:13" x14ac:dyDescent="0.25">
      <c r="A128" s="41">
        <v>202007</v>
      </c>
      <c r="B128" s="41">
        <v>47</v>
      </c>
      <c r="C128" s="42" t="s">
        <v>111</v>
      </c>
      <c r="D128" s="58">
        <v>5268490000125</v>
      </c>
      <c r="E128" s="46" t="b">
        <v>0</v>
      </c>
      <c r="F128" s="46" t="b">
        <v>1</v>
      </c>
      <c r="G128" s="46" t="b">
        <v>1</v>
      </c>
      <c r="H128" s="42" t="s">
        <v>96</v>
      </c>
      <c r="I128" s="42" t="s">
        <v>117</v>
      </c>
      <c r="J128" s="21">
        <v>100</v>
      </c>
      <c r="K128" s="21">
        <v>100</v>
      </c>
      <c r="L128" s="10">
        <v>14901.97</v>
      </c>
      <c r="M128" s="10">
        <v>14901.97</v>
      </c>
    </row>
    <row r="129" spans="1:13" x14ac:dyDescent="0.25">
      <c r="A129" s="41">
        <v>202007</v>
      </c>
      <c r="B129" s="41">
        <v>45</v>
      </c>
      <c r="C129" s="42" t="s">
        <v>137</v>
      </c>
      <c r="D129" s="58">
        <v>25211499000107</v>
      </c>
      <c r="E129" s="46" t="b">
        <v>0</v>
      </c>
      <c r="F129" s="46" t="b">
        <v>1</v>
      </c>
      <c r="G129" s="46" t="b">
        <v>1</v>
      </c>
      <c r="H129" s="42" t="s">
        <v>96</v>
      </c>
      <c r="I129" s="42" t="s">
        <v>122</v>
      </c>
      <c r="J129" s="21">
        <v>250</v>
      </c>
      <c r="K129" s="21">
        <v>250</v>
      </c>
      <c r="L129" s="10">
        <v>23654.52</v>
      </c>
      <c r="M129" s="10">
        <v>23654.52</v>
      </c>
    </row>
    <row r="130" spans="1:13" x14ac:dyDescent="0.25">
      <c r="A130" s="41">
        <v>202007</v>
      </c>
      <c r="B130" s="41">
        <v>64</v>
      </c>
      <c r="C130" s="42" t="s">
        <v>133</v>
      </c>
      <c r="D130" s="58">
        <v>25211499000379</v>
      </c>
      <c r="E130" s="46" t="b">
        <v>0</v>
      </c>
      <c r="F130" s="46" t="b">
        <v>1</v>
      </c>
      <c r="G130" s="46" t="b">
        <v>1</v>
      </c>
      <c r="H130" s="42" t="s">
        <v>96</v>
      </c>
      <c r="I130" s="42" t="s">
        <v>122</v>
      </c>
      <c r="J130" s="21">
        <v>20</v>
      </c>
      <c r="K130" s="21">
        <v>20</v>
      </c>
      <c r="L130" s="10">
        <v>18296.45</v>
      </c>
      <c r="M130" s="10">
        <v>18296.45</v>
      </c>
    </row>
    <row r="131" spans="1:13" x14ac:dyDescent="0.25">
      <c r="A131" s="41">
        <v>202007</v>
      </c>
      <c r="B131" s="41">
        <v>47</v>
      </c>
      <c r="C131" s="42" t="s">
        <v>111</v>
      </c>
      <c r="D131" s="58">
        <v>8719794000150</v>
      </c>
      <c r="E131" s="46" t="b">
        <v>0</v>
      </c>
      <c r="F131" s="46" t="b">
        <v>1</v>
      </c>
      <c r="G131" s="46" t="b">
        <v>1</v>
      </c>
      <c r="H131" s="42" t="s">
        <v>96</v>
      </c>
      <c r="I131" s="42" t="s">
        <v>129</v>
      </c>
      <c r="J131" s="21">
        <v>100</v>
      </c>
      <c r="K131" s="21">
        <v>100</v>
      </c>
      <c r="L131" s="10">
        <v>14963.76</v>
      </c>
      <c r="M131" s="10">
        <v>14963.76</v>
      </c>
    </row>
    <row r="132" spans="1:13" x14ac:dyDescent="0.25">
      <c r="A132" s="41">
        <v>202007</v>
      </c>
      <c r="B132" s="41">
        <v>70</v>
      </c>
      <c r="C132" s="42" t="s">
        <v>139</v>
      </c>
      <c r="D132" s="58">
        <v>1479465000130</v>
      </c>
      <c r="E132" s="46" t="b">
        <v>0</v>
      </c>
      <c r="F132" s="46" t="b">
        <v>1</v>
      </c>
      <c r="G132" s="46" t="b">
        <v>1</v>
      </c>
      <c r="H132" s="42" t="s">
        <v>112</v>
      </c>
      <c r="I132" s="42" t="s">
        <v>115</v>
      </c>
      <c r="J132" s="21">
        <v>67</v>
      </c>
      <c r="K132" s="21">
        <v>335</v>
      </c>
      <c r="L132" s="10">
        <v>67578.399999999994</v>
      </c>
      <c r="M132" s="10">
        <v>67578.399999999994</v>
      </c>
    </row>
    <row r="133" spans="1:13" x14ac:dyDescent="0.25">
      <c r="A133" s="41">
        <v>202007</v>
      </c>
      <c r="B133" s="41">
        <v>45</v>
      </c>
      <c r="C133" s="42" t="s">
        <v>137</v>
      </c>
      <c r="D133" s="58">
        <v>46374500011714</v>
      </c>
      <c r="E133" s="46" t="b">
        <v>0</v>
      </c>
      <c r="F133" s="46" t="b">
        <v>0</v>
      </c>
      <c r="G133" s="46" t="b">
        <v>1</v>
      </c>
      <c r="H133" s="42" t="s">
        <v>112</v>
      </c>
      <c r="I133" s="42" t="s">
        <v>134</v>
      </c>
      <c r="J133" s="21">
        <v>46</v>
      </c>
      <c r="K133" s="21">
        <v>46</v>
      </c>
      <c r="L133" s="10">
        <v>4071</v>
      </c>
      <c r="M133" s="10">
        <v>4071</v>
      </c>
    </row>
    <row r="134" spans="1:13" x14ac:dyDescent="0.25">
      <c r="A134" s="41">
        <v>202007</v>
      </c>
      <c r="B134" s="41">
        <v>70</v>
      </c>
      <c r="C134" s="42" t="s">
        <v>140</v>
      </c>
      <c r="D134" s="58">
        <v>1479465000130</v>
      </c>
      <c r="E134" s="46" t="b">
        <v>0</v>
      </c>
      <c r="F134" s="46" t="b">
        <v>1</v>
      </c>
      <c r="G134" s="46" t="b">
        <v>1</v>
      </c>
      <c r="H134" s="42" t="s">
        <v>112</v>
      </c>
      <c r="I134" s="42" t="s">
        <v>115</v>
      </c>
      <c r="J134" s="21">
        <v>150</v>
      </c>
      <c r="K134" s="21">
        <v>1500</v>
      </c>
      <c r="L134" s="10">
        <v>282304.43</v>
      </c>
      <c r="M134" s="10">
        <v>282304.43</v>
      </c>
    </row>
    <row r="135" spans="1:13" x14ac:dyDescent="0.25">
      <c r="A135" s="41">
        <v>202007</v>
      </c>
      <c r="B135" s="41">
        <v>70</v>
      </c>
      <c r="C135" s="42" t="s">
        <v>139</v>
      </c>
      <c r="D135" s="58">
        <v>60448040000122</v>
      </c>
      <c r="E135" s="46" t="b">
        <v>0</v>
      </c>
      <c r="F135" s="46" t="b">
        <v>0</v>
      </c>
      <c r="G135" s="46" t="b">
        <v>1</v>
      </c>
      <c r="H135" s="42" t="s">
        <v>112</v>
      </c>
      <c r="I135" s="42" t="s">
        <v>134</v>
      </c>
      <c r="J135" s="21">
        <v>1853</v>
      </c>
      <c r="K135" s="21">
        <v>9265</v>
      </c>
      <c r="L135" s="10">
        <v>1686230</v>
      </c>
      <c r="M135" s="10">
        <v>1686230</v>
      </c>
    </row>
    <row r="136" spans="1:13" x14ac:dyDescent="0.25">
      <c r="A136" s="41">
        <v>202007</v>
      </c>
      <c r="B136" s="41">
        <v>45</v>
      </c>
      <c r="C136" s="42" t="s">
        <v>137</v>
      </c>
      <c r="D136" s="58">
        <v>46374500011200</v>
      </c>
      <c r="E136" s="46" t="b">
        <v>0</v>
      </c>
      <c r="F136" s="46" t="b">
        <v>0</v>
      </c>
      <c r="G136" s="46" t="b">
        <v>1</v>
      </c>
      <c r="H136" s="42" t="s">
        <v>112</v>
      </c>
      <c r="I136" s="42" t="s">
        <v>120</v>
      </c>
      <c r="J136" s="21">
        <v>800</v>
      </c>
      <c r="K136" s="21">
        <v>800</v>
      </c>
      <c r="L136" s="10">
        <v>70800</v>
      </c>
      <c r="M136" s="10">
        <v>70800</v>
      </c>
    </row>
    <row r="137" spans="1:13" x14ac:dyDescent="0.25">
      <c r="A137" s="41">
        <v>202007</v>
      </c>
      <c r="B137" s="41">
        <v>47</v>
      </c>
      <c r="C137" s="42" t="s">
        <v>111</v>
      </c>
      <c r="D137" s="58">
        <v>25211499000107</v>
      </c>
      <c r="E137" s="46" t="b">
        <v>0</v>
      </c>
      <c r="F137" s="46" t="b">
        <v>1</v>
      </c>
      <c r="G137" s="46" t="b">
        <v>1</v>
      </c>
      <c r="H137" s="42" t="s">
        <v>96</v>
      </c>
      <c r="I137" s="42" t="s">
        <v>122</v>
      </c>
      <c r="J137" s="21">
        <v>200</v>
      </c>
      <c r="K137" s="21">
        <v>200</v>
      </c>
      <c r="L137" s="10">
        <v>29803.93</v>
      </c>
      <c r="M137" s="10">
        <v>29803.93</v>
      </c>
    </row>
    <row r="138" spans="1:13" x14ac:dyDescent="0.25">
      <c r="A138" s="41">
        <v>202007</v>
      </c>
      <c r="B138" s="41">
        <v>47</v>
      </c>
      <c r="C138" s="42" t="s">
        <v>111</v>
      </c>
      <c r="D138" s="58">
        <v>25211499000379</v>
      </c>
      <c r="E138" s="46" t="b">
        <v>0</v>
      </c>
      <c r="F138" s="46" t="b">
        <v>1</v>
      </c>
      <c r="G138" s="46" t="b">
        <v>1</v>
      </c>
      <c r="H138" s="42" t="s">
        <v>96</v>
      </c>
      <c r="I138" s="42" t="s">
        <v>122</v>
      </c>
      <c r="J138" s="21">
        <v>400</v>
      </c>
      <c r="K138" s="21">
        <v>400</v>
      </c>
      <c r="L138" s="10">
        <v>59607.87</v>
      </c>
      <c r="M138" s="10">
        <v>59607.87</v>
      </c>
    </row>
    <row r="139" spans="1:13" x14ac:dyDescent="0.25">
      <c r="A139" s="41">
        <v>202007</v>
      </c>
      <c r="B139" s="41">
        <v>57</v>
      </c>
      <c r="C139" s="42" t="s">
        <v>146</v>
      </c>
      <c r="D139" s="58">
        <v>15126437003592</v>
      </c>
      <c r="E139" s="46" t="b">
        <v>0</v>
      </c>
      <c r="F139" s="46" t="b">
        <v>0</v>
      </c>
      <c r="G139" s="46" t="b">
        <v>1</v>
      </c>
      <c r="H139" s="42" t="s">
        <v>94</v>
      </c>
      <c r="I139" s="42" t="s">
        <v>127</v>
      </c>
      <c r="J139" s="21">
        <v>15</v>
      </c>
      <c r="K139" s="21">
        <v>15</v>
      </c>
      <c r="L139" s="10">
        <v>5982</v>
      </c>
      <c r="M139" s="10">
        <v>5982</v>
      </c>
    </row>
    <row r="140" spans="1:13" x14ac:dyDescent="0.25">
      <c r="A140" s="41">
        <v>202007</v>
      </c>
      <c r="B140" s="41">
        <v>70</v>
      </c>
      <c r="C140" s="42" t="s">
        <v>139</v>
      </c>
      <c r="D140" s="58">
        <v>5816630000152</v>
      </c>
      <c r="E140" s="46" t="b">
        <v>0</v>
      </c>
      <c r="F140" s="46" t="b">
        <v>0</v>
      </c>
      <c r="G140" s="46" t="b">
        <v>1</v>
      </c>
      <c r="H140" s="42" t="s">
        <v>96</v>
      </c>
      <c r="I140" s="42" t="s">
        <v>130</v>
      </c>
      <c r="J140" s="21">
        <v>167</v>
      </c>
      <c r="K140" s="21">
        <v>835</v>
      </c>
      <c r="L140" s="10">
        <v>170166.32</v>
      </c>
      <c r="M140" s="10">
        <v>170166.32</v>
      </c>
    </row>
    <row r="141" spans="1:13" x14ac:dyDescent="0.25">
      <c r="A141" s="41">
        <v>202007</v>
      </c>
      <c r="B141" s="41">
        <v>47</v>
      </c>
      <c r="C141" s="42" t="s">
        <v>111</v>
      </c>
      <c r="D141" s="58">
        <v>31378288000166</v>
      </c>
      <c r="E141" s="46" t="b">
        <v>0</v>
      </c>
      <c r="F141" s="46" t="b">
        <v>1</v>
      </c>
      <c r="G141" s="46" t="b">
        <v>1</v>
      </c>
      <c r="H141" s="42" t="s">
        <v>112</v>
      </c>
      <c r="I141" s="42" t="s">
        <v>115</v>
      </c>
      <c r="J141" s="21">
        <v>150</v>
      </c>
      <c r="K141" s="21">
        <v>150</v>
      </c>
      <c r="L141" s="10">
        <v>19790.22</v>
      </c>
      <c r="M141" s="10">
        <v>19790.22</v>
      </c>
    </row>
    <row r="142" spans="1:13" x14ac:dyDescent="0.25">
      <c r="A142" s="41">
        <v>202007</v>
      </c>
      <c r="B142" s="41">
        <v>70</v>
      </c>
      <c r="C142" s="42" t="s">
        <v>140</v>
      </c>
      <c r="D142" s="58">
        <v>31378288000166</v>
      </c>
      <c r="E142" s="46" t="b">
        <v>0</v>
      </c>
      <c r="F142" s="46" t="b">
        <v>1</v>
      </c>
      <c r="G142" s="46" t="b">
        <v>1</v>
      </c>
      <c r="H142" s="42" t="s">
        <v>112</v>
      </c>
      <c r="I142" s="42" t="s">
        <v>115</v>
      </c>
      <c r="J142" s="21">
        <v>100</v>
      </c>
      <c r="K142" s="21">
        <v>1000</v>
      </c>
      <c r="L142" s="10">
        <v>213201.36</v>
      </c>
      <c r="M142" s="10">
        <v>213201.36</v>
      </c>
    </row>
    <row r="143" spans="1:13" x14ac:dyDescent="0.25">
      <c r="A143" s="41">
        <v>202007</v>
      </c>
      <c r="B143" s="41">
        <v>70</v>
      </c>
      <c r="C143" s="42" t="s">
        <v>139</v>
      </c>
      <c r="D143" s="58">
        <v>33781055001026</v>
      </c>
      <c r="E143" s="46" t="b">
        <v>0</v>
      </c>
      <c r="F143" s="46" t="b">
        <v>0</v>
      </c>
      <c r="G143" s="46" t="b">
        <v>1</v>
      </c>
      <c r="H143" s="42" t="s">
        <v>94</v>
      </c>
      <c r="I143" s="42" t="s">
        <v>127</v>
      </c>
      <c r="J143" s="21">
        <v>50</v>
      </c>
      <c r="K143" s="21">
        <v>250</v>
      </c>
      <c r="L143" s="10">
        <v>49108</v>
      </c>
      <c r="M143" s="10">
        <v>49108</v>
      </c>
    </row>
    <row r="144" spans="1:13" x14ac:dyDescent="0.25">
      <c r="A144" s="41">
        <v>202007</v>
      </c>
      <c r="B144" s="41">
        <v>64</v>
      </c>
      <c r="C144" s="42" t="s">
        <v>133</v>
      </c>
      <c r="D144" s="58">
        <v>9605231000284</v>
      </c>
      <c r="E144" s="46" t="b">
        <v>0</v>
      </c>
      <c r="F144" s="46" t="b">
        <v>0</v>
      </c>
      <c r="G144" s="46" t="b">
        <v>1</v>
      </c>
      <c r="H144" s="42" t="s">
        <v>94</v>
      </c>
      <c r="I144" s="42" t="s">
        <v>126</v>
      </c>
      <c r="J144" s="21">
        <v>6</v>
      </c>
      <c r="K144" s="21">
        <v>6</v>
      </c>
      <c r="L144" s="10">
        <v>5109.5200000000004</v>
      </c>
      <c r="M144" s="10">
        <v>5109.5200000000004</v>
      </c>
    </row>
    <row r="145" spans="1:13" x14ac:dyDescent="0.25">
      <c r="A145" s="41">
        <v>202007</v>
      </c>
      <c r="B145" s="41">
        <v>45</v>
      </c>
      <c r="C145" s="42" t="s">
        <v>137</v>
      </c>
      <c r="D145" s="58">
        <v>6234797000178</v>
      </c>
      <c r="E145" s="46" t="b">
        <v>0</v>
      </c>
      <c r="F145" s="46" t="b">
        <v>1</v>
      </c>
      <c r="G145" s="46" t="b">
        <v>1</v>
      </c>
      <c r="H145" s="42" t="s">
        <v>96</v>
      </c>
      <c r="I145" s="42" t="s">
        <v>130</v>
      </c>
      <c r="J145" s="21">
        <v>1000</v>
      </c>
      <c r="K145" s="21">
        <v>1000</v>
      </c>
      <c r="L145" s="10">
        <v>87735.1</v>
      </c>
      <c r="M145" s="10">
        <v>87735.1</v>
      </c>
    </row>
    <row r="146" spans="1:13" x14ac:dyDescent="0.25">
      <c r="A146" s="41">
        <v>202007</v>
      </c>
      <c r="B146" s="41">
        <v>70</v>
      </c>
      <c r="C146" s="42" t="s">
        <v>139</v>
      </c>
      <c r="D146" s="58">
        <v>1479465000130</v>
      </c>
      <c r="E146" s="46" t="b">
        <v>0</v>
      </c>
      <c r="F146" s="46" t="b">
        <v>1</v>
      </c>
      <c r="G146" s="46" t="b">
        <v>1</v>
      </c>
      <c r="H146" s="42" t="s">
        <v>112</v>
      </c>
      <c r="I146" s="42" t="s">
        <v>115</v>
      </c>
      <c r="J146" s="21">
        <v>133</v>
      </c>
      <c r="K146" s="21">
        <v>665</v>
      </c>
      <c r="L146" s="10">
        <v>134148.16</v>
      </c>
      <c r="M146" s="10">
        <v>134148.16</v>
      </c>
    </row>
    <row r="147" spans="1:13" x14ac:dyDescent="0.25">
      <c r="A147" s="41">
        <v>202007</v>
      </c>
      <c r="B147" s="41">
        <v>45</v>
      </c>
      <c r="C147" s="42" t="s">
        <v>137</v>
      </c>
      <c r="D147" s="58">
        <v>46374500012281</v>
      </c>
      <c r="E147" s="46" t="b">
        <v>0</v>
      </c>
      <c r="F147" s="46" t="b">
        <v>0</v>
      </c>
      <c r="G147" s="46" t="b">
        <v>1</v>
      </c>
      <c r="H147" s="42" t="s">
        <v>112</v>
      </c>
      <c r="I147" s="42" t="s">
        <v>120</v>
      </c>
      <c r="J147" s="21">
        <v>200</v>
      </c>
      <c r="K147" s="21">
        <v>200</v>
      </c>
      <c r="L147" s="10">
        <v>17700</v>
      </c>
      <c r="M147" s="10">
        <v>17700</v>
      </c>
    </row>
    <row r="148" spans="1:13" x14ac:dyDescent="0.25">
      <c r="A148" s="41">
        <v>202007</v>
      </c>
      <c r="B148" s="41">
        <v>70</v>
      </c>
      <c r="C148" s="42" t="s">
        <v>139</v>
      </c>
      <c r="D148" s="58">
        <v>6234797000178</v>
      </c>
      <c r="E148" s="46" t="b">
        <v>0</v>
      </c>
      <c r="F148" s="46" t="b">
        <v>1</v>
      </c>
      <c r="G148" s="46" t="b">
        <v>1</v>
      </c>
      <c r="H148" s="42" t="s">
        <v>96</v>
      </c>
      <c r="I148" s="42" t="s">
        <v>130</v>
      </c>
      <c r="J148" s="21">
        <v>400</v>
      </c>
      <c r="K148" s="21">
        <v>2000</v>
      </c>
      <c r="L148" s="10">
        <v>409981.18</v>
      </c>
      <c r="M148" s="10">
        <v>409981.18</v>
      </c>
    </row>
    <row r="149" spans="1:13" x14ac:dyDescent="0.25">
      <c r="A149" s="41">
        <v>202007</v>
      </c>
      <c r="B149" s="41">
        <v>45</v>
      </c>
      <c r="C149" s="42" t="s">
        <v>137</v>
      </c>
      <c r="D149" s="58">
        <v>46374500005234</v>
      </c>
      <c r="E149" s="46" t="b">
        <v>0</v>
      </c>
      <c r="F149" s="46" t="b">
        <v>0</v>
      </c>
      <c r="G149" s="46" t="b">
        <v>1</v>
      </c>
      <c r="H149" s="42" t="s">
        <v>112</v>
      </c>
      <c r="I149" s="42" t="s">
        <v>134</v>
      </c>
      <c r="J149" s="21">
        <v>20</v>
      </c>
      <c r="K149" s="21">
        <v>20</v>
      </c>
      <c r="L149" s="10">
        <v>1770</v>
      </c>
      <c r="M149" s="10">
        <v>1770</v>
      </c>
    </row>
    <row r="150" spans="1:13" x14ac:dyDescent="0.25">
      <c r="A150" s="41">
        <v>202007</v>
      </c>
      <c r="B150" s="41">
        <v>47</v>
      </c>
      <c r="C150" s="42" t="s">
        <v>111</v>
      </c>
      <c r="D150" s="58">
        <v>2873606000167</v>
      </c>
      <c r="E150" s="46" t="b">
        <v>0</v>
      </c>
      <c r="F150" s="46" t="b">
        <v>1</v>
      </c>
      <c r="G150" s="46" t="b">
        <v>1</v>
      </c>
      <c r="H150" s="42" t="s">
        <v>94</v>
      </c>
      <c r="I150" s="42" t="s">
        <v>126</v>
      </c>
      <c r="J150" s="21">
        <v>50</v>
      </c>
      <c r="K150" s="21">
        <v>50</v>
      </c>
      <c r="L150" s="10">
        <v>7450.88</v>
      </c>
      <c r="M150" s="10">
        <v>7450.88</v>
      </c>
    </row>
    <row r="151" spans="1:13" x14ac:dyDescent="0.25">
      <c r="A151" s="41">
        <v>202007</v>
      </c>
      <c r="B151" s="41">
        <v>57</v>
      </c>
      <c r="C151" s="42" t="s">
        <v>146</v>
      </c>
      <c r="D151" s="58">
        <v>2873606000167</v>
      </c>
      <c r="E151" s="46" t="b">
        <v>0</v>
      </c>
      <c r="F151" s="46" t="b">
        <v>1</v>
      </c>
      <c r="G151" s="46" t="b">
        <v>1</v>
      </c>
      <c r="H151" s="42" t="s">
        <v>94</v>
      </c>
      <c r="I151" s="42" t="s">
        <v>126</v>
      </c>
      <c r="J151" s="21">
        <v>50</v>
      </c>
      <c r="K151" s="21">
        <v>50</v>
      </c>
      <c r="L151" s="10">
        <v>19840.669999999998</v>
      </c>
      <c r="M151" s="10">
        <v>19840.669999999998</v>
      </c>
    </row>
    <row r="152" spans="1:13" x14ac:dyDescent="0.25">
      <c r="A152" s="41">
        <v>202007</v>
      </c>
      <c r="B152" s="41">
        <v>45</v>
      </c>
      <c r="C152" s="42" t="s">
        <v>137</v>
      </c>
      <c r="D152" s="58">
        <v>60003761000129</v>
      </c>
      <c r="E152" s="46" t="b">
        <v>0</v>
      </c>
      <c r="F152" s="46" t="b">
        <v>0</v>
      </c>
      <c r="G152" s="46" t="b">
        <v>1</v>
      </c>
      <c r="H152" s="42" t="s">
        <v>112</v>
      </c>
      <c r="I152" s="42" t="s">
        <v>115</v>
      </c>
      <c r="J152" s="21">
        <v>300</v>
      </c>
      <c r="K152" s="21">
        <v>300</v>
      </c>
      <c r="L152" s="10">
        <v>24600</v>
      </c>
      <c r="M152" s="10">
        <v>24600</v>
      </c>
    </row>
    <row r="153" spans="1:13" x14ac:dyDescent="0.25">
      <c r="A153" s="41">
        <v>202007</v>
      </c>
      <c r="B153" s="41">
        <v>64</v>
      </c>
      <c r="C153" s="42" t="s">
        <v>133</v>
      </c>
      <c r="D153" s="58">
        <v>60003761000129</v>
      </c>
      <c r="E153" s="46" t="b">
        <v>0</v>
      </c>
      <c r="F153" s="46" t="b">
        <v>0</v>
      </c>
      <c r="G153" s="46" t="b">
        <v>1</v>
      </c>
      <c r="H153" s="42" t="s">
        <v>112</v>
      </c>
      <c r="I153" s="42" t="s">
        <v>115</v>
      </c>
      <c r="J153" s="21">
        <v>10</v>
      </c>
      <c r="K153" s="21">
        <v>10</v>
      </c>
      <c r="L153" s="10">
        <v>8093.4</v>
      </c>
      <c r="M153" s="10">
        <v>8093.4</v>
      </c>
    </row>
    <row r="154" spans="1:13" x14ac:dyDescent="0.25">
      <c r="A154" s="41">
        <v>202007</v>
      </c>
      <c r="B154" s="41">
        <v>62</v>
      </c>
      <c r="C154" s="42" t="s">
        <v>132</v>
      </c>
      <c r="D154" s="58">
        <v>60003761000129</v>
      </c>
      <c r="E154" s="46" t="b">
        <v>0</v>
      </c>
      <c r="F154" s="46" t="b">
        <v>0</v>
      </c>
      <c r="G154" s="46" t="b">
        <v>1</v>
      </c>
      <c r="H154" s="42" t="s">
        <v>112</v>
      </c>
      <c r="I154" s="42" t="s">
        <v>115</v>
      </c>
      <c r="J154" s="21">
        <v>2</v>
      </c>
      <c r="K154" s="21">
        <v>2</v>
      </c>
      <c r="L154" s="10">
        <v>2325.52</v>
      </c>
      <c r="M154" s="10">
        <v>2325.52</v>
      </c>
    </row>
    <row r="155" spans="1:13" x14ac:dyDescent="0.25">
      <c r="A155" s="41">
        <v>202007</v>
      </c>
      <c r="B155" s="41">
        <v>67</v>
      </c>
      <c r="C155" s="42" t="s">
        <v>240</v>
      </c>
      <c r="D155" s="58">
        <v>60003761000129</v>
      </c>
      <c r="E155" s="46" t="b">
        <v>0</v>
      </c>
      <c r="F155" s="46" t="b">
        <v>0</v>
      </c>
      <c r="G155" s="46" t="b">
        <v>1</v>
      </c>
      <c r="H155" s="42" t="s">
        <v>112</v>
      </c>
      <c r="I155" s="42" t="s">
        <v>115</v>
      </c>
      <c r="J155" s="21">
        <v>300</v>
      </c>
      <c r="K155" s="21">
        <v>300</v>
      </c>
      <c r="L155" s="10">
        <v>-54.55</v>
      </c>
      <c r="M155" s="10">
        <v>-54.55</v>
      </c>
    </row>
    <row r="156" spans="1:13" x14ac:dyDescent="0.25">
      <c r="A156" s="41">
        <v>202007</v>
      </c>
      <c r="B156" s="41">
        <v>66</v>
      </c>
      <c r="C156" s="42" t="s">
        <v>43</v>
      </c>
      <c r="D156" s="58">
        <v>9660958000345</v>
      </c>
      <c r="E156" s="46" t="b">
        <v>0</v>
      </c>
      <c r="F156" s="46" t="b">
        <v>1</v>
      </c>
      <c r="G156" s="46" t="b">
        <v>1</v>
      </c>
      <c r="H156" s="42" t="s">
        <v>94</v>
      </c>
      <c r="I156" s="42" t="s">
        <v>127</v>
      </c>
      <c r="J156" s="21">
        <v>66</v>
      </c>
      <c r="K156" s="21">
        <v>66</v>
      </c>
      <c r="L156" s="10">
        <v>100362.8</v>
      </c>
      <c r="M156" s="10">
        <v>100362.8</v>
      </c>
    </row>
    <row r="157" spans="1:13" x14ac:dyDescent="0.25">
      <c r="A157" s="41">
        <v>202007</v>
      </c>
      <c r="B157" s="41">
        <v>70</v>
      </c>
      <c r="C157" s="42" t="s">
        <v>139</v>
      </c>
      <c r="D157" s="58">
        <v>13864377000130</v>
      </c>
      <c r="E157" s="46" t="b">
        <v>0</v>
      </c>
      <c r="F157" s="46" t="b">
        <v>0</v>
      </c>
      <c r="G157" s="46" t="b">
        <v>1</v>
      </c>
      <c r="H157" s="42" t="s">
        <v>112</v>
      </c>
      <c r="I157" s="42" t="s">
        <v>113</v>
      </c>
      <c r="J157" s="21">
        <v>10</v>
      </c>
      <c r="K157" s="21">
        <v>50</v>
      </c>
      <c r="L157" s="10">
        <v>9785.7000000000007</v>
      </c>
      <c r="M157" s="10">
        <v>9785.7000000000007</v>
      </c>
    </row>
    <row r="158" spans="1:13" x14ac:dyDescent="0.25">
      <c r="A158" s="41">
        <v>202007</v>
      </c>
      <c r="B158" s="41">
        <v>70</v>
      </c>
      <c r="C158" s="42" t="s">
        <v>139</v>
      </c>
      <c r="D158" s="58">
        <v>13864377000130</v>
      </c>
      <c r="E158" s="46" t="b">
        <v>0</v>
      </c>
      <c r="F158" s="46" t="b">
        <v>0</v>
      </c>
      <c r="G158" s="46" t="b">
        <v>1</v>
      </c>
      <c r="H158" s="42" t="s">
        <v>112</v>
      </c>
      <c r="I158" s="42" t="s">
        <v>113</v>
      </c>
      <c r="J158" s="21">
        <v>10</v>
      </c>
      <c r="K158" s="21">
        <v>50</v>
      </c>
      <c r="L158" s="10">
        <v>9785.7000000000007</v>
      </c>
      <c r="M158" s="10">
        <v>9785.7000000000007</v>
      </c>
    </row>
    <row r="159" spans="1:13" x14ac:dyDescent="0.25">
      <c r="A159" s="41">
        <v>202007</v>
      </c>
      <c r="B159" s="41">
        <v>54</v>
      </c>
      <c r="C159" s="42" t="s">
        <v>150</v>
      </c>
      <c r="D159" s="58">
        <v>46374500026231</v>
      </c>
      <c r="E159" s="46" t="b">
        <v>0</v>
      </c>
      <c r="F159" s="46" t="b">
        <v>0</v>
      </c>
      <c r="G159" s="46" t="b">
        <v>1</v>
      </c>
      <c r="H159" s="42" t="s">
        <v>112</v>
      </c>
      <c r="I159" s="42" t="s">
        <v>134</v>
      </c>
      <c r="J159" s="21">
        <v>1262</v>
      </c>
      <c r="K159" s="21">
        <v>1262</v>
      </c>
      <c r="L159" s="10">
        <v>706720</v>
      </c>
      <c r="M159" s="10">
        <v>706720</v>
      </c>
    </row>
    <row r="160" spans="1:13" x14ac:dyDescent="0.25">
      <c r="A160" s="41">
        <v>202007</v>
      </c>
      <c r="B160" s="41">
        <v>54</v>
      </c>
      <c r="C160" s="42" t="s">
        <v>150</v>
      </c>
      <c r="D160" s="58">
        <v>46374500026231</v>
      </c>
      <c r="E160" s="46" t="b">
        <v>0</v>
      </c>
      <c r="F160" s="46" t="b">
        <v>0</v>
      </c>
      <c r="G160" s="46" t="b">
        <v>1</v>
      </c>
      <c r="H160" s="42" t="s">
        <v>112</v>
      </c>
      <c r="I160" s="42" t="s">
        <v>134</v>
      </c>
      <c r="J160" s="21">
        <v>636</v>
      </c>
      <c r="K160" s="21">
        <v>636</v>
      </c>
      <c r="L160" s="10">
        <v>356160</v>
      </c>
      <c r="M160" s="10">
        <v>356160</v>
      </c>
    </row>
    <row r="161" spans="1:13" x14ac:dyDescent="0.25">
      <c r="A161" s="41">
        <v>202007</v>
      </c>
      <c r="B161" s="41">
        <v>54</v>
      </c>
      <c r="C161" s="42" t="s">
        <v>150</v>
      </c>
      <c r="D161" s="58">
        <v>46374500026231</v>
      </c>
      <c r="E161" s="46" t="b">
        <v>0</v>
      </c>
      <c r="F161" s="46" t="b">
        <v>0</v>
      </c>
      <c r="G161" s="46" t="b">
        <v>1</v>
      </c>
      <c r="H161" s="42" t="s">
        <v>112</v>
      </c>
      <c r="I161" s="42" t="s">
        <v>134</v>
      </c>
      <c r="J161" s="21">
        <v>226</v>
      </c>
      <c r="K161" s="21">
        <v>226</v>
      </c>
      <c r="L161" s="10">
        <v>126560</v>
      </c>
      <c r="M161" s="10">
        <v>126560</v>
      </c>
    </row>
    <row r="162" spans="1:13" x14ac:dyDescent="0.25">
      <c r="A162" s="41">
        <v>202007</v>
      </c>
      <c r="B162" s="41">
        <v>47</v>
      </c>
      <c r="C162" s="42" t="s">
        <v>111</v>
      </c>
      <c r="D162" s="58">
        <v>25211499000107</v>
      </c>
      <c r="E162" s="46" t="b">
        <v>0</v>
      </c>
      <c r="F162" s="46" t="b">
        <v>1</v>
      </c>
      <c r="G162" s="46" t="b">
        <v>1</v>
      </c>
      <c r="H162" s="42" t="s">
        <v>96</v>
      </c>
      <c r="I162" s="42" t="s">
        <v>122</v>
      </c>
      <c r="J162" s="21">
        <v>16</v>
      </c>
      <c r="K162" s="21">
        <v>16</v>
      </c>
      <c r="L162" s="10">
        <v>2509.34</v>
      </c>
      <c r="M162" s="10">
        <v>2509.34</v>
      </c>
    </row>
    <row r="163" spans="1:13" x14ac:dyDescent="0.25">
      <c r="A163" s="41">
        <v>202007</v>
      </c>
      <c r="B163" s="41">
        <v>66</v>
      </c>
      <c r="C163" s="42" t="s">
        <v>43</v>
      </c>
      <c r="D163" s="58">
        <v>20001049000176</v>
      </c>
      <c r="E163" s="46" t="b">
        <v>0</v>
      </c>
      <c r="F163" s="46" t="b">
        <v>1</v>
      </c>
      <c r="G163" s="46" t="b">
        <v>1</v>
      </c>
      <c r="H163" s="42" t="s">
        <v>96</v>
      </c>
      <c r="I163" s="42" t="s">
        <v>130</v>
      </c>
      <c r="J163" s="21">
        <v>15</v>
      </c>
      <c r="K163" s="21">
        <v>15</v>
      </c>
      <c r="L163" s="10">
        <v>20797.11</v>
      </c>
      <c r="M163" s="10">
        <v>20797.11</v>
      </c>
    </row>
    <row r="164" spans="1:13" x14ac:dyDescent="0.25">
      <c r="A164" s="41">
        <v>202007</v>
      </c>
      <c r="B164" s="41">
        <v>45</v>
      </c>
      <c r="C164" s="42" t="s">
        <v>137</v>
      </c>
      <c r="D164" s="58">
        <v>46374500012524</v>
      </c>
      <c r="E164" s="46" t="b">
        <v>0</v>
      </c>
      <c r="F164" s="46" t="b">
        <v>0</v>
      </c>
      <c r="G164" s="46" t="b">
        <v>1</v>
      </c>
      <c r="H164" s="42" t="s">
        <v>112</v>
      </c>
      <c r="I164" s="42" t="s">
        <v>134</v>
      </c>
      <c r="J164" s="21">
        <v>210</v>
      </c>
      <c r="K164" s="21">
        <v>210</v>
      </c>
      <c r="L164" s="10">
        <v>18585</v>
      </c>
      <c r="M164" s="10">
        <v>18585</v>
      </c>
    </row>
    <row r="165" spans="1:13" x14ac:dyDescent="0.25">
      <c r="A165" s="41">
        <v>202007</v>
      </c>
      <c r="B165" s="41">
        <v>70</v>
      </c>
      <c r="C165" s="42" t="s">
        <v>139</v>
      </c>
      <c r="D165" s="58">
        <v>13864377000130</v>
      </c>
      <c r="E165" s="46" t="b">
        <v>0</v>
      </c>
      <c r="F165" s="46" t="b">
        <v>0</v>
      </c>
      <c r="G165" s="46" t="b">
        <v>1</v>
      </c>
      <c r="H165" s="42" t="s">
        <v>112</v>
      </c>
      <c r="I165" s="42" t="s">
        <v>113</v>
      </c>
      <c r="J165" s="21">
        <v>5</v>
      </c>
      <c r="K165" s="21">
        <v>25</v>
      </c>
      <c r="L165" s="10">
        <v>4892.8500000000004</v>
      </c>
      <c r="M165" s="10">
        <v>4892.8500000000004</v>
      </c>
    </row>
    <row r="166" spans="1:13" x14ac:dyDescent="0.25">
      <c r="A166" s="41">
        <v>202007</v>
      </c>
      <c r="B166" s="41">
        <v>70</v>
      </c>
      <c r="C166" s="42" t="s">
        <v>139</v>
      </c>
      <c r="D166" s="58">
        <v>9660958000345</v>
      </c>
      <c r="E166" s="46" t="b">
        <v>0</v>
      </c>
      <c r="F166" s="46" t="b">
        <v>1</v>
      </c>
      <c r="G166" s="46" t="b">
        <v>1</v>
      </c>
      <c r="H166" s="42" t="s">
        <v>94</v>
      </c>
      <c r="I166" s="42" t="s">
        <v>127</v>
      </c>
      <c r="J166" s="21">
        <v>12</v>
      </c>
      <c r="K166" s="21">
        <v>60</v>
      </c>
      <c r="L166" s="10">
        <v>11807.92</v>
      </c>
      <c r="M166" s="10">
        <v>11807.92</v>
      </c>
    </row>
    <row r="167" spans="1:13" x14ac:dyDescent="0.25">
      <c r="A167" s="41">
        <v>202007</v>
      </c>
      <c r="B167" s="41">
        <v>45</v>
      </c>
      <c r="C167" s="42" t="s">
        <v>137</v>
      </c>
      <c r="D167" s="58">
        <v>21895020000148</v>
      </c>
      <c r="E167" s="46" t="b">
        <v>0</v>
      </c>
      <c r="F167" s="46" t="b">
        <v>1</v>
      </c>
      <c r="G167" s="46" t="b">
        <v>1</v>
      </c>
      <c r="H167" s="42" t="s">
        <v>96</v>
      </c>
      <c r="I167" s="42" t="s">
        <v>97</v>
      </c>
      <c r="J167" s="21">
        <v>2400</v>
      </c>
      <c r="K167" s="21">
        <v>2400</v>
      </c>
      <c r="L167" s="10">
        <v>216488.44</v>
      </c>
      <c r="M167" s="10">
        <v>216488.44</v>
      </c>
    </row>
    <row r="168" spans="1:13" x14ac:dyDescent="0.25">
      <c r="A168" s="41">
        <v>202007</v>
      </c>
      <c r="B168" s="41">
        <v>64</v>
      </c>
      <c r="C168" s="42" t="s">
        <v>133</v>
      </c>
      <c r="D168" s="58">
        <v>4307650001298</v>
      </c>
      <c r="E168" s="46" t="b">
        <v>0</v>
      </c>
      <c r="F168" s="46" t="b">
        <v>1</v>
      </c>
      <c r="G168" s="46" t="b">
        <v>1</v>
      </c>
      <c r="H168" s="42" t="s">
        <v>112</v>
      </c>
      <c r="I168" s="42" t="s">
        <v>113</v>
      </c>
      <c r="J168" s="21">
        <v>100</v>
      </c>
      <c r="K168" s="21">
        <v>100</v>
      </c>
      <c r="L168" s="10">
        <v>91482.240000000005</v>
      </c>
      <c r="M168" s="10">
        <v>91482.240000000005</v>
      </c>
    </row>
    <row r="169" spans="1:13" x14ac:dyDescent="0.25">
      <c r="A169" s="41">
        <v>202007</v>
      </c>
      <c r="B169" s="41">
        <v>73</v>
      </c>
      <c r="C169" s="42" t="s">
        <v>141</v>
      </c>
      <c r="D169" s="58">
        <v>4307650001298</v>
      </c>
      <c r="E169" s="46" t="b">
        <v>0</v>
      </c>
      <c r="F169" s="46" t="b">
        <v>1</v>
      </c>
      <c r="G169" s="46" t="b">
        <v>1</v>
      </c>
      <c r="H169" s="42" t="s">
        <v>112</v>
      </c>
      <c r="I169" s="42" t="s">
        <v>113</v>
      </c>
      <c r="J169" s="21">
        <v>45</v>
      </c>
      <c r="K169" s="21">
        <v>180</v>
      </c>
      <c r="L169" s="10">
        <v>41816.720000000001</v>
      </c>
      <c r="M169" s="10">
        <v>41816.720000000001</v>
      </c>
    </row>
    <row r="170" spans="1:13" x14ac:dyDescent="0.25">
      <c r="A170" s="41">
        <v>202007</v>
      </c>
      <c r="B170" s="41">
        <v>47</v>
      </c>
      <c r="C170" s="42" t="s">
        <v>111</v>
      </c>
      <c r="D170" s="58">
        <v>4307650001298</v>
      </c>
      <c r="E170" s="46" t="b">
        <v>0</v>
      </c>
      <c r="F170" s="46" t="b">
        <v>1</v>
      </c>
      <c r="G170" s="46" t="b">
        <v>1</v>
      </c>
      <c r="H170" s="42" t="s">
        <v>112</v>
      </c>
      <c r="I170" s="42" t="s">
        <v>113</v>
      </c>
      <c r="J170" s="21">
        <v>880</v>
      </c>
      <c r="K170" s="21">
        <v>880</v>
      </c>
      <c r="L170" s="10">
        <v>131137.31</v>
      </c>
      <c r="M170" s="10">
        <v>131137.31</v>
      </c>
    </row>
    <row r="171" spans="1:13" x14ac:dyDescent="0.25">
      <c r="A171" s="41">
        <v>202007</v>
      </c>
      <c r="B171" s="41">
        <v>64</v>
      </c>
      <c r="C171" s="42" t="s">
        <v>133</v>
      </c>
      <c r="D171" s="58">
        <v>4307650001298</v>
      </c>
      <c r="E171" s="46" t="b">
        <v>0</v>
      </c>
      <c r="F171" s="46" t="b">
        <v>1</v>
      </c>
      <c r="G171" s="46" t="b">
        <v>1</v>
      </c>
      <c r="H171" s="42" t="s">
        <v>112</v>
      </c>
      <c r="I171" s="42" t="s">
        <v>113</v>
      </c>
      <c r="J171" s="21">
        <v>30</v>
      </c>
      <c r="K171" s="21">
        <v>30</v>
      </c>
      <c r="L171" s="10">
        <v>27444.67</v>
      </c>
      <c r="M171" s="10">
        <v>27444.67</v>
      </c>
    </row>
    <row r="172" spans="1:13" x14ac:dyDescent="0.25">
      <c r="A172" s="41">
        <v>202007</v>
      </c>
      <c r="B172" s="41">
        <v>47</v>
      </c>
      <c r="C172" s="42" t="s">
        <v>111</v>
      </c>
      <c r="D172" s="58">
        <v>4307650001298</v>
      </c>
      <c r="E172" s="46" t="b">
        <v>0</v>
      </c>
      <c r="F172" s="46" t="b">
        <v>1</v>
      </c>
      <c r="G172" s="46" t="b">
        <v>1</v>
      </c>
      <c r="H172" s="42" t="s">
        <v>112</v>
      </c>
      <c r="I172" s="42" t="s">
        <v>113</v>
      </c>
      <c r="J172" s="21">
        <v>2320</v>
      </c>
      <c r="K172" s="21">
        <v>2320</v>
      </c>
      <c r="L172" s="10">
        <v>345725.62</v>
      </c>
      <c r="M172" s="10">
        <v>345725.62</v>
      </c>
    </row>
    <row r="173" spans="1:13" x14ac:dyDescent="0.25">
      <c r="A173" s="41">
        <v>202007</v>
      </c>
      <c r="B173" s="41">
        <v>73</v>
      </c>
      <c r="C173" s="42" t="s">
        <v>138</v>
      </c>
      <c r="D173" s="58">
        <v>4307650001298</v>
      </c>
      <c r="E173" s="46" t="b">
        <v>0</v>
      </c>
      <c r="F173" s="46" t="b">
        <v>1</v>
      </c>
      <c r="G173" s="46" t="b">
        <v>1</v>
      </c>
      <c r="H173" s="42" t="s">
        <v>112</v>
      </c>
      <c r="I173" s="42" t="s">
        <v>113</v>
      </c>
      <c r="J173" s="21">
        <v>70</v>
      </c>
      <c r="K173" s="21">
        <v>140</v>
      </c>
      <c r="L173" s="10">
        <v>32524.69</v>
      </c>
      <c r="M173" s="10">
        <v>32524.69</v>
      </c>
    </row>
    <row r="174" spans="1:13" x14ac:dyDescent="0.25">
      <c r="A174" s="41">
        <v>202007</v>
      </c>
      <c r="B174" s="41">
        <v>73</v>
      </c>
      <c r="C174" s="42" t="s">
        <v>141</v>
      </c>
      <c r="D174" s="58">
        <v>4307650001298</v>
      </c>
      <c r="E174" s="46" t="b">
        <v>0</v>
      </c>
      <c r="F174" s="46" t="b">
        <v>1</v>
      </c>
      <c r="G174" s="46" t="b">
        <v>1</v>
      </c>
      <c r="H174" s="42" t="s">
        <v>112</v>
      </c>
      <c r="I174" s="42" t="s">
        <v>113</v>
      </c>
      <c r="J174" s="21">
        <v>285</v>
      </c>
      <c r="K174" s="21">
        <v>1140</v>
      </c>
      <c r="L174" s="10">
        <v>264839.23</v>
      </c>
      <c r="M174" s="10">
        <v>264839.23</v>
      </c>
    </row>
    <row r="175" spans="1:13" x14ac:dyDescent="0.25">
      <c r="A175" s="41">
        <v>202007</v>
      </c>
      <c r="B175" s="41">
        <v>70</v>
      </c>
      <c r="C175" s="42" t="s">
        <v>139</v>
      </c>
      <c r="D175" s="58">
        <v>4307650001298</v>
      </c>
      <c r="E175" s="46" t="b">
        <v>0</v>
      </c>
      <c r="F175" s="46" t="b">
        <v>1</v>
      </c>
      <c r="G175" s="46" t="b">
        <v>1</v>
      </c>
      <c r="H175" s="42" t="s">
        <v>112</v>
      </c>
      <c r="I175" s="42" t="s">
        <v>113</v>
      </c>
      <c r="J175" s="21">
        <v>500</v>
      </c>
      <c r="K175" s="21">
        <v>2500</v>
      </c>
      <c r="L175" s="10">
        <v>533002.16</v>
      </c>
      <c r="M175" s="10">
        <v>533002.16</v>
      </c>
    </row>
    <row r="176" spans="1:13" x14ac:dyDescent="0.25">
      <c r="A176" s="41">
        <v>202007</v>
      </c>
      <c r="B176" s="41">
        <v>70</v>
      </c>
      <c r="C176" s="42" t="s">
        <v>139</v>
      </c>
      <c r="D176" s="58">
        <v>13864377000130</v>
      </c>
      <c r="E176" s="46" t="b">
        <v>0</v>
      </c>
      <c r="F176" s="46" t="b">
        <v>0</v>
      </c>
      <c r="G176" s="46" t="b">
        <v>1</v>
      </c>
      <c r="H176" s="42" t="s">
        <v>112</v>
      </c>
      <c r="I176" s="42" t="s">
        <v>113</v>
      </c>
      <c r="J176" s="21">
        <v>5</v>
      </c>
      <c r="K176" s="21">
        <v>25</v>
      </c>
      <c r="L176" s="10">
        <v>4892.8500000000004</v>
      </c>
      <c r="M176" s="10">
        <v>4892.8500000000004</v>
      </c>
    </row>
    <row r="177" spans="1:13" x14ac:dyDescent="0.25">
      <c r="A177" s="41">
        <v>202007</v>
      </c>
      <c r="B177" s="41">
        <v>70</v>
      </c>
      <c r="C177" s="42" t="s">
        <v>139</v>
      </c>
      <c r="D177" s="58">
        <v>13864377000130</v>
      </c>
      <c r="E177" s="46" t="b">
        <v>0</v>
      </c>
      <c r="F177" s="46" t="b">
        <v>0</v>
      </c>
      <c r="G177" s="46" t="b">
        <v>1</v>
      </c>
      <c r="H177" s="42" t="s">
        <v>112</v>
      </c>
      <c r="I177" s="42" t="s">
        <v>113</v>
      </c>
      <c r="J177" s="21">
        <v>5</v>
      </c>
      <c r="K177" s="21">
        <v>25</v>
      </c>
      <c r="L177" s="10">
        <v>4892.8500000000004</v>
      </c>
      <c r="M177" s="10">
        <v>4892.8500000000004</v>
      </c>
    </row>
    <row r="178" spans="1:13" x14ac:dyDescent="0.25">
      <c r="A178" s="41">
        <v>202007</v>
      </c>
      <c r="B178" s="41">
        <v>70</v>
      </c>
      <c r="C178" s="42" t="s">
        <v>139</v>
      </c>
      <c r="D178" s="58">
        <v>7484373000124</v>
      </c>
      <c r="E178" s="46" t="b">
        <v>0</v>
      </c>
      <c r="F178" s="46" t="b">
        <v>1</v>
      </c>
      <c r="G178" s="46" t="b">
        <v>1</v>
      </c>
      <c r="H178" s="42" t="s">
        <v>96</v>
      </c>
      <c r="I178" s="42" t="s">
        <v>129</v>
      </c>
      <c r="J178" s="21">
        <v>1000</v>
      </c>
      <c r="K178" s="21">
        <v>5000</v>
      </c>
      <c r="L178" s="10">
        <v>865151.41</v>
      </c>
      <c r="M178" s="10">
        <v>865151.41</v>
      </c>
    </row>
    <row r="179" spans="1:13" x14ac:dyDescent="0.25">
      <c r="A179" s="41">
        <v>202007</v>
      </c>
      <c r="B179" s="41">
        <v>70</v>
      </c>
      <c r="C179" s="42" t="s">
        <v>139</v>
      </c>
      <c r="D179" s="58">
        <v>7484373000124</v>
      </c>
      <c r="E179" s="46" t="b">
        <v>0</v>
      </c>
      <c r="F179" s="46" t="b">
        <v>1</v>
      </c>
      <c r="G179" s="46" t="b">
        <v>1</v>
      </c>
      <c r="H179" s="42" t="s">
        <v>96</v>
      </c>
      <c r="I179" s="42" t="s">
        <v>129</v>
      </c>
      <c r="J179" s="21">
        <v>1000</v>
      </c>
      <c r="K179" s="21">
        <v>5000</v>
      </c>
      <c r="L179" s="10">
        <v>865151.41</v>
      </c>
      <c r="M179" s="10">
        <v>865151.41</v>
      </c>
    </row>
    <row r="180" spans="1:13" x14ac:dyDescent="0.25">
      <c r="A180" s="41">
        <v>202007</v>
      </c>
      <c r="B180" s="41">
        <v>45</v>
      </c>
      <c r="C180" s="42" t="s">
        <v>137</v>
      </c>
      <c r="D180" s="58">
        <v>82873068000140</v>
      </c>
      <c r="E180" s="46" t="b">
        <v>0</v>
      </c>
      <c r="F180" s="46" t="b">
        <v>1</v>
      </c>
      <c r="G180" s="46" t="b">
        <v>1</v>
      </c>
      <c r="H180" s="42" t="s">
        <v>94</v>
      </c>
      <c r="I180" s="42" t="s">
        <v>128</v>
      </c>
      <c r="J180" s="21">
        <v>500</v>
      </c>
      <c r="K180" s="21">
        <v>500</v>
      </c>
      <c r="L180" s="10">
        <v>47150.85</v>
      </c>
      <c r="M180" s="10">
        <v>47150.85</v>
      </c>
    </row>
    <row r="181" spans="1:13" x14ac:dyDescent="0.25">
      <c r="A181" s="41">
        <v>202007</v>
      </c>
      <c r="B181" s="41">
        <v>56</v>
      </c>
      <c r="C181" s="42" t="s">
        <v>136</v>
      </c>
      <c r="D181" s="58">
        <v>82873068000140</v>
      </c>
      <c r="E181" s="46" t="b">
        <v>0</v>
      </c>
      <c r="F181" s="46" t="b">
        <v>1</v>
      </c>
      <c r="G181" s="46" t="b">
        <v>1</v>
      </c>
      <c r="H181" s="42" t="s">
        <v>94</v>
      </c>
      <c r="I181" s="42" t="s">
        <v>128</v>
      </c>
      <c r="J181" s="21">
        <v>80</v>
      </c>
      <c r="K181" s="21">
        <v>80</v>
      </c>
      <c r="L181" s="10">
        <v>3013.66</v>
      </c>
      <c r="M181" s="10">
        <v>3013.66</v>
      </c>
    </row>
    <row r="182" spans="1:13" x14ac:dyDescent="0.25">
      <c r="A182" s="41">
        <v>202007</v>
      </c>
      <c r="B182" s="41">
        <v>47</v>
      </c>
      <c r="C182" s="42" t="s">
        <v>111</v>
      </c>
      <c r="D182" s="58">
        <v>82873068000140</v>
      </c>
      <c r="E182" s="46" t="b">
        <v>0</v>
      </c>
      <c r="F182" s="46" t="b">
        <v>1</v>
      </c>
      <c r="G182" s="46" t="b">
        <v>1</v>
      </c>
      <c r="H182" s="42" t="s">
        <v>94</v>
      </c>
      <c r="I182" s="42" t="s">
        <v>128</v>
      </c>
      <c r="J182" s="21">
        <v>800</v>
      </c>
      <c r="K182" s="21">
        <v>800</v>
      </c>
      <c r="L182" s="10">
        <v>119214.09</v>
      </c>
      <c r="M182" s="10">
        <v>119214.09</v>
      </c>
    </row>
    <row r="183" spans="1:13" x14ac:dyDescent="0.25">
      <c r="A183" s="41">
        <v>202007</v>
      </c>
      <c r="B183" s="41">
        <v>73</v>
      </c>
      <c r="C183" s="42" t="s">
        <v>135</v>
      </c>
      <c r="D183" s="58">
        <v>82873068000140</v>
      </c>
      <c r="E183" s="46" t="b">
        <v>0</v>
      </c>
      <c r="F183" s="46" t="b">
        <v>1</v>
      </c>
      <c r="G183" s="46" t="b">
        <v>1</v>
      </c>
      <c r="H183" s="42" t="s">
        <v>94</v>
      </c>
      <c r="I183" s="42" t="s">
        <v>128</v>
      </c>
      <c r="J183" s="21">
        <v>20</v>
      </c>
      <c r="K183" s="21">
        <v>20</v>
      </c>
      <c r="L183" s="10">
        <v>4646.24</v>
      </c>
      <c r="M183" s="10">
        <v>4646.24</v>
      </c>
    </row>
    <row r="184" spans="1:13" x14ac:dyDescent="0.25">
      <c r="A184" s="41">
        <v>202007</v>
      </c>
      <c r="B184" s="41">
        <v>73</v>
      </c>
      <c r="C184" s="42" t="s">
        <v>138</v>
      </c>
      <c r="D184" s="58">
        <v>82873068000140</v>
      </c>
      <c r="E184" s="46" t="b">
        <v>0</v>
      </c>
      <c r="F184" s="46" t="b">
        <v>1</v>
      </c>
      <c r="G184" s="46" t="b">
        <v>1</v>
      </c>
      <c r="H184" s="42" t="s">
        <v>94</v>
      </c>
      <c r="I184" s="42" t="s">
        <v>128</v>
      </c>
      <c r="J184" s="21">
        <v>15</v>
      </c>
      <c r="K184" s="21">
        <v>30</v>
      </c>
      <c r="L184" s="10">
        <v>6969.6</v>
      </c>
      <c r="M184" s="10">
        <v>6969.6</v>
      </c>
    </row>
    <row r="185" spans="1:13" x14ac:dyDescent="0.25">
      <c r="A185" s="41">
        <v>202007</v>
      </c>
      <c r="B185" s="41">
        <v>73</v>
      </c>
      <c r="C185" s="42" t="s">
        <v>141</v>
      </c>
      <c r="D185" s="58">
        <v>82873068000140</v>
      </c>
      <c r="E185" s="46" t="b">
        <v>0</v>
      </c>
      <c r="F185" s="46" t="b">
        <v>1</v>
      </c>
      <c r="G185" s="46" t="b">
        <v>1</v>
      </c>
      <c r="H185" s="42" t="s">
        <v>94</v>
      </c>
      <c r="I185" s="42" t="s">
        <v>128</v>
      </c>
      <c r="J185" s="21">
        <v>10</v>
      </c>
      <c r="K185" s="21">
        <v>40</v>
      </c>
      <c r="L185" s="10">
        <v>9292.64</v>
      </c>
      <c r="M185" s="10">
        <v>9292.64</v>
      </c>
    </row>
    <row r="186" spans="1:13" x14ac:dyDescent="0.25">
      <c r="A186" s="41">
        <v>202007</v>
      </c>
      <c r="B186" s="41">
        <v>45</v>
      </c>
      <c r="C186" s="42" t="s">
        <v>137</v>
      </c>
      <c r="D186" s="58">
        <v>2873606000167</v>
      </c>
      <c r="E186" s="46" t="b">
        <v>0</v>
      </c>
      <c r="F186" s="46" t="b">
        <v>1</v>
      </c>
      <c r="G186" s="46" t="b">
        <v>1</v>
      </c>
      <c r="H186" s="42" t="s">
        <v>94</v>
      </c>
      <c r="I186" s="42" t="s">
        <v>126</v>
      </c>
      <c r="J186" s="21">
        <v>5780</v>
      </c>
      <c r="K186" s="21">
        <v>5780</v>
      </c>
      <c r="L186" s="10">
        <v>-56637.46</v>
      </c>
      <c r="M186" s="10">
        <v>-56637.46</v>
      </c>
    </row>
    <row r="187" spans="1:13" x14ac:dyDescent="0.25">
      <c r="A187" s="41">
        <v>202007</v>
      </c>
      <c r="B187" s="41">
        <v>54</v>
      </c>
      <c r="C187" s="42" t="s">
        <v>150</v>
      </c>
      <c r="D187" s="58">
        <v>2873606000167</v>
      </c>
      <c r="E187" s="46" t="b">
        <v>0</v>
      </c>
      <c r="F187" s="46" t="b">
        <v>1</v>
      </c>
      <c r="G187" s="46" t="b">
        <v>1</v>
      </c>
      <c r="H187" s="42" t="s">
        <v>94</v>
      </c>
      <c r="I187" s="42" t="s">
        <v>126</v>
      </c>
      <c r="J187" s="21">
        <v>103</v>
      </c>
      <c r="K187" s="21">
        <v>103</v>
      </c>
      <c r="L187" s="10">
        <v>-6889.13</v>
      </c>
      <c r="M187" s="10">
        <v>-6889.13</v>
      </c>
    </row>
    <row r="188" spans="1:13" x14ac:dyDescent="0.25">
      <c r="A188" s="41">
        <v>202007</v>
      </c>
      <c r="B188" s="41">
        <v>47</v>
      </c>
      <c r="C188" s="42" t="s">
        <v>111</v>
      </c>
      <c r="D188" s="58">
        <v>9660958000345</v>
      </c>
      <c r="E188" s="46" t="b">
        <v>0</v>
      </c>
      <c r="F188" s="46" t="b">
        <v>1</v>
      </c>
      <c r="G188" s="46" t="b">
        <v>1</v>
      </c>
      <c r="H188" s="42" t="s">
        <v>94</v>
      </c>
      <c r="I188" s="42" t="s">
        <v>127</v>
      </c>
      <c r="J188" s="21">
        <v>1000</v>
      </c>
      <c r="K188" s="21">
        <v>1000</v>
      </c>
      <c r="L188" s="10">
        <v>149019.67000000001</v>
      </c>
      <c r="M188" s="10">
        <v>149019.67000000001</v>
      </c>
    </row>
    <row r="189" spans="1:13" x14ac:dyDescent="0.25">
      <c r="A189" s="41">
        <v>202007</v>
      </c>
      <c r="B189" s="41">
        <v>47</v>
      </c>
      <c r="C189" s="42" t="s">
        <v>111</v>
      </c>
      <c r="D189" s="58">
        <v>13864377000130</v>
      </c>
      <c r="E189" s="46" t="b">
        <v>0</v>
      </c>
      <c r="F189" s="46" t="b">
        <v>0</v>
      </c>
      <c r="G189" s="46" t="b">
        <v>1</v>
      </c>
      <c r="H189" s="42" t="s">
        <v>112</v>
      </c>
      <c r="I189" s="42" t="s">
        <v>113</v>
      </c>
      <c r="J189" s="21">
        <v>4</v>
      </c>
      <c r="K189" s="21">
        <v>4</v>
      </c>
      <c r="L189" s="10">
        <v>606.79999999999995</v>
      </c>
      <c r="M189" s="10">
        <v>606.79999999999995</v>
      </c>
    </row>
    <row r="190" spans="1:13" x14ac:dyDescent="0.25">
      <c r="A190" s="41">
        <v>202007</v>
      </c>
      <c r="B190" s="41">
        <v>47</v>
      </c>
      <c r="C190" s="42" t="s">
        <v>111</v>
      </c>
      <c r="D190" s="58">
        <v>13864377000130</v>
      </c>
      <c r="E190" s="46" t="b">
        <v>0</v>
      </c>
      <c r="F190" s="46" t="b">
        <v>0</v>
      </c>
      <c r="G190" s="46" t="b">
        <v>1</v>
      </c>
      <c r="H190" s="42" t="s">
        <v>112</v>
      </c>
      <c r="I190" s="42" t="s">
        <v>113</v>
      </c>
      <c r="J190" s="21">
        <v>30</v>
      </c>
      <c r="K190" s="21">
        <v>30</v>
      </c>
      <c r="L190" s="10">
        <v>4551</v>
      </c>
      <c r="M190" s="10">
        <v>4551</v>
      </c>
    </row>
    <row r="191" spans="1:13" x14ac:dyDescent="0.25">
      <c r="A191" s="41">
        <v>202007</v>
      </c>
      <c r="B191" s="41">
        <v>47</v>
      </c>
      <c r="C191" s="42" t="s">
        <v>111</v>
      </c>
      <c r="D191" s="58">
        <v>13864377000130</v>
      </c>
      <c r="E191" s="46" t="b">
        <v>0</v>
      </c>
      <c r="F191" s="46" t="b">
        <v>0</v>
      </c>
      <c r="G191" s="46" t="b">
        <v>1</v>
      </c>
      <c r="H191" s="42" t="s">
        <v>112</v>
      </c>
      <c r="I191" s="42" t="s">
        <v>113</v>
      </c>
      <c r="J191" s="21">
        <v>30</v>
      </c>
      <c r="K191" s="21">
        <v>30</v>
      </c>
      <c r="L191" s="10">
        <v>4551</v>
      </c>
      <c r="M191" s="10">
        <v>4551</v>
      </c>
    </row>
    <row r="192" spans="1:13" x14ac:dyDescent="0.25">
      <c r="A192" s="41">
        <v>202007</v>
      </c>
      <c r="B192" s="41">
        <v>47</v>
      </c>
      <c r="C192" s="42" t="s">
        <v>111</v>
      </c>
      <c r="D192" s="58">
        <v>13864377000130</v>
      </c>
      <c r="E192" s="46" t="b">
        <v>0</v>
      </c>
      <c r="F192" s="46" t="b">
        <v>0</v>
      </c>
      <c r="G192" s="46" t="b">
        <v>1</v>
      </c>
      <c r="H192" s="42" t="s">
        <v>112</v>
      </c>
      <c r="I192" s="42" t="s">
        <v>113</v>
      </c>
      <c r="J192" s="21">
        <v>7</v>
      </c>
      <c r="K192" s="21">
        <v>7</v>
      </c>
      <c r="L192" s="10">
        <v>1061.9000000000001</v>
      </c>
      <c r="M192" s="10">
        <v>1061.9000000000001</v>
      </c>
    </row>
    <row r="193" spans="1:13" x14ac:dyDescent="0.25">
      <c r="A193" s="41">
        <v>202007</v>
      </c>
      <c r="B193" s="41">
        <v>47</v>
      </c>
      <c r="C193" s="42" t="s">
        <v>111</v>
      </c>
      <c r="D193" s="58">
        <v>13864377000130</v>
      </c>
      <c r="E193" s="46" t="b">
        <v>0</v>
      </c>
      <c r="F193" s="46" t="b">
        <v>0</v>
      </c>
      <c r="G193" s="46" t="b">
        <v>1</v>
      </c>
      <c r="H193" s="42" t="s">
        <v>112</v>
      </c>
      <c r="I193" s="42" t="s">
        <v>113</v>
      </c>
      <c r="J193" s="21">
        <v>10</v>
      </c>
      <c r="K193" s="21">
        <v>10</v>
      </c>
      <c r="L193" s="10">
        <v>1517</v>
      </c>
      <c r="M193" s="10">
        <v>1517</v>
      </c>
    </row>
    <row r="194" spans="1:13" x14ac:dyDescent="0.25">
      <c r="A194" s="41">
        <v>202007</v>
      </c>
      <c r="B194" s="41">
        <v>47</v>
      </c>
      <c r="C194" s="42" t="s">
        <v>111</v>
      </c>
      <c r="D194" s="58">
        <v>13864377000130</v>
      </c>
      <c r="E194" s="46" t="b">
        <v>0</v>
      </c>
      <c r="F194" s="46" t="b">
        <v>0</v>
      </c>
      <c r="G194" s="46" t="b">
        <v>1</v>
      </c>
      <c r="H194" s="42" t="s">
        <v>112</v>
      </c>
      <c r="I194" s="42" t="s">
        <v>113</v>
      </c>
      <c r="J194" s="21">
        <v>30</v>
      </c>
      <c r="K194" s="21">
        <v>30</v>
      </c>
      <c r="L194" s="10">
        <v>4551</v>
      </c>
      <c r="M194" s="10">
        <v>4551</v>
      </c>
    </row>
    <row r="195" spans="1:13" x14ac:dyDescent="0.25">
      <c r="A195" s="41">
        <v>202007</v>
      </c>
      <c r="B195" s="41">
        <v>47</v>
      </c>
      <c r="C195" s="42" t="s">
        <v>111</v>
      </c>
      <c r="D195" s="58">
        <v>13864377000130</v>
      </c>
      <c r="E195" s="46" t="b">
        <v>0</v>
      </c>
      <c r="F195" s="46" t="b">
        <v>0</v>
      </c>
      <c r="G195" s="46" t="b">
        <v>1</v>
      </c>
      <c r="H195" s="42" t="s">
        <v>112</v>
      </c>
      <c r="I195" s="42" t="s">
        <v>113</v>
      </c>
      <c r="J195" s="21">
        <v>25</v>
      </c>
      <c r="K195" s="21">
        <v>25</v>
      </c>
      <c r="L195" s="10">
        <v>3792.5</v>
      </c>
      <c r="M195" s="10">
        <v>3792.5</v>
      </c>
    </row>
    <row r="196" spans="1:13" x14ac:dyDescent="0.25">
      <c r="A196" s="41">
        <v>202007</v>
      </c>
      <c r="B196" s="41">
        <v>70</v>
      </c>
      <c r="C196" s="42" t="s">
        <v>139</v>
      </c>
      <c r="D196" s="58">
        <v>13864377000130</v>
      </c>
      <c r="E196" s="46" t="b">
        <v>0</v>
      </c>
      <c r="F196" s="46" t="b">
        <v>0</v>
      </c>
      <c r="G196" s="46" t="b">
        <v>1</v>
      </c>
      <c r="H196" s="42" t="s">
        <v>112</v>
      </c>
      <c r="I196" s="42" t="s">
        <v>113</v>
      </c>
      <c r="J196" s="21">
        <v>10</v>
      </c>
      <c r="K196" s="21">
        <v>50</v>
      </c>
      <c r="L196" s="10">
        <v>9785.7000000000007</v>
      </c>
      <c r="M196" s="10">
        <v>9785.7000000000007</v>
      </c>
    </row>
    <row r="197" spans="1:13" x14ac:dyDescent="0.25">
      <c r="A197" s="41">
        <v>202007</v>
      </c>
      <c r="B197" s="41">
        <v>47</v>
      </c>
      <c r="C197" s="42" t="s">
        <v>111</v>
      </c>
      <c r="D197" s="58">
        <v>13864377000130</v>
      </c>
      <c r="E197" s="46" t="b">
        <v>0</v>
      </c>
      <c r="F197" s="46" t="b">
        <v>0</v>
      </c>
      <c r="G197" s="46" t="b">
        <v>1</v>
      </c>
      <c r="H197" s="42" t="s">
        <v>112</v>
      </c>
      <c r="I197" s="42" t="s">
        <v>113</v>
      </c>
      <c r="J197" s="21">
        <v>14</v>
      </c>
      <c r="K197" s="21">
        <v>14</v>
      </c>
      <c r="L197" s="10">
        <v>2123.8000000000002</v>
      </c>
      <c r="M197" s="10">
        <v>2123.8000000000002</v>
      </c>
    </row>
    <row r="198" spans="1:13" x14ac:dyDescent="0.25">
      <c r="A198" s="41">
        <v>202007</v>
      </c>
      <c r="B198" s="41">
        <v>47</v>
      </c>
      <c r="C198" s="42" t="s">
        <v>111</v>
      </c>
      <c r="D198" s="58">
        <v>61599908000158</v>
      </c>
      <c r="E198" s="46" t="b">
        <v>0</v>
      </c>
      <c r="F198" s="46" t="b">
        <v>0</v>
      </c>
      <c r="G198" s="46" t="b">
        <v>1</v>
      </c>
      <c r="H198" s="42" t="s">
        <v>112</v>
      </c>
      <c r="I198" s="42" t="s">
        <v>113</v>
      </c>
      <c r="J198" s="21">
        <v>20</v>
      </c>
      <c r="K198" s="21">
        <v>20</v>
      </c>
      <c r="L198" s="10">
        <v>2689.58</v>
      </c>
      <c r="M198" s="10">
        <v>2689.58</v>
      </c>
    </row>
    <row r="199" spans="1:13" x14ac:dyDescent="0.25">
      <c r="A199" s="41">
        <v>202007</v>
      </c>
      <c r="B199" s="41">
        <v>70</v>
      </c>
      <c r="C199" s="42" t="s">
        <v>139</v>
      </c>
      <c r="D199" s="58">
        <v>13864377000130</v>
      </c>
      <c r="E199" s="46" t="b">
        <v>0</v>
      </c>
      <c r="F199" s="46" t="b">
        <v>0</v>
      </c>
      <c r="G199" s="46" t="b">
        <v>1</v>
      </c>
      <c r="H199" s="42" t="s">
        <v>112</v>
      </c>
      <c r="I199" s="42" t="s">
        <v>113</v>
      </c>
      <c r="J199" s="21">
        <v>10</v>
      </c>
      <c r="K199" s="21">
        <v>50</v>
      </c>
      <c r="L199" s="10">
        <v>9785.7000000000007</v>
      </c>
      <c r="M199" s="10">
        <v>9785.7000000000007</v>
      </c>
    </row>
    <row r="200" spans="1:13" x14ac:dyDescent="0.25">
      <c r="A200" s="41">
        <v>202007</v>
      </c>
      <c r="B200" s="41">
        <v>70</v>
      </c>
      <c r="C200" s="42" t="s">
        <v>139</v>
      </c>
      <c r="D200" s="58">
        <v>13864377000130</v>
      </c>
      <c r="E200" s="46" t="b">
        <v>0</v>
      </c>
      <c r="F200" s="46" t="b">
        <v>0</v>
      </c>
      <c r="G200" s="46" t="b">
        <v>1</v>
      </c>
      <c r="H200" s="42" t="s">
        <v>112</v>
      </c>
      <c r="I200" s="42" t="s">
        <v>113</v>
      </c>
      <c r="J200" s="21">
        <v>10</v>
      </c>
      <c r="K200" s="21">
        <v>50</v>
      </c>
      <c r="L200" s="10">
        <v>9785.7000000000007</v>
      </c>
      <c r="M200" s="10">
        <v>9785.7000000000007</v>
      </c>
    </row>
    <row r="201" spans="1:13" x14ac:dyDescent="0.25">
      <c r="A201" s="41">
        <v>202007</v>
      </c>
      <c r="B201" s="41">
        <v>70</v>
      </c>
      <c r="C201" s="42" t="s">
        <v>139</v>
      </c>
      <c r="D201" s="58">
        <v>2873606000167</v>
      </c>
      <c r="E201" s="46" t="b">
        <v>0</v>
      </c>
      <c r="F201" s="46" t="b">
        <v>1</v>
      </c>
      <c r="G201" s="46" t="b">
        <v>1</v>
      </c>
      <c r="H201" s="42" t="s">
        <v>94</v>
      </c>
      <c r="I201" s="42" t="s">
        <v>126</v>
      </c>
      <c r="J201" s="21">
        <v>875</v>
      </c>
      <c r="K201" s="21">
        <v>4375</v>
      </c>
      <c r="L201" s="10">
        <v>765584.22</v>
      </c>
      <c r="M201" s="10">
        <v>765584.22</v>
      </c>
    </row>
    <row r="202" spans="1:13" x14ac:dyDescent="0.25">
      <c r="A202" s="41">
        <v>202007</v>
      </c>
      <c r="B202" s="41">
        <v>70</v>
      </c>
      <c r="C202" s="42" t="s">
        <v>139</v>
      </c>
      <c r="D202" s="58">
        <v>13864377000130</v>
      </c>
      <c r="E202" s="46" t="b">
        <v>0</v>
      </c>
      <c r="F202" s="46" t="b">
        <v>0</v>
      </c>
      <c r="G202" s="46" t="b">
        <v>1</v>
      </c>
      <c r="H202" s="42" t="s">
        <v>112</v>
      </c>
      <c r="I202" s="42" t="s">
        <v>113</v>
      </c>
      <c r="J202" s="21">
        <v>5</v>
      </c>
      <c r="K202" s="21">
        <v>25</v>
      </c>
      <c r="L202" s="10">
        <v>4892.8500000000004</v>
      </c>
      <c r="M202" s="10">
        <v>4892.8500000000004</v>
      </c>
    </row>
    <row r="203" spans="1:13" x14ac:dyDescent="0.25">
      <c r="A203" s="41">
        <v>202007</v>
      </c>
      <c r="B203" s="41">
        <v>45</v>
      </c>
      <c r="C203" s="42" t="s">
        <v>137</v>
      </c>
      <c r="D203" s="58">
        <v>19843929002901</v>
      </c>
      <c r="E203" s="46" t="b">
        <v>0</v>
      </c>
      <c r="F203" s="46" t="b">
        <v>0</v>
      </c>
      <c r="G203" s="46" t="b">
        <v>1</v>
      </c>
      <c r="H203" s="42" t="s">
        <v>94</v>
      </c>
      <c r="I203" s="42" t="s">
        <v>95</v>
      </c>
      <c r="J203" s="21">
        <v>16</v>
      </c>
      <c r="K203" s="21">
        <v>16</v>
      </c>
      <c r="L203" s="10">
        <v>1416.96</v>
      </c>
      <c r="M203" s="10">
        <v>1416.96</v>
      </c>
    </row>
    <row r="204" spans="1:13" x14ac:dyDescent="0.25">
      <c r="A204" s="41">
        <v>202007</v>
      </c>
      <c r="B204" s="41">
        <v>45</v>
      </c>
      <c r="C204" s="42" t="s">
        <v>137</v>
      </c>
      <c r="D204" s="58">
        <v>82873068000654</v>
      </c>
      <c r="E204" s="46" t="b">
        <v>0</v>
      </c>
      <c r="F204" s="46" t="b">
        <v>1</v>
      </c>
      <c r="G204" s="46" t="b">
        <v>1</v>
      </c>
      <c r="H204" s="42" t="s">
        <v>94</v>
      </c>
      <c r="I204" s="42" t="s">
        <v>128</v>
      </c>
      <c r="J204" s="21">
        <v>500</v>
      </c>
      <c r="K204" s="21">
        <v>500</v>
      </c>
      <c r="L204" s="10">
        <v>47150.97</v>
      </c>
      <c r="M204" s="10">
        <v>47150.97</v>
      </c>
    </row>
    <row r="205" spans="1:13" x14ac:dyDescent="0.25">
      <c r="A205" s="41">
        <v>202007</v>
      </c>
      <c r="B205" s="41">
        <v>70</v>
      </c>
      <c r="C205" s="42" t="s">
        <v>147</v>
      </c>
      <c r="D205" s="58">
        <v>46374500011200</v>
      </c>
      <c r="E205" s="46" t="b">
        <v>0</v>
      </c>
      <c r="F205" s="46" t="b">
        <v>0</v>
      </c>
      <c r="G205" s="46" t="b">
        <v>1</v>
      </c>
      <c r="H205" s="42" t="s">
        <v>112</v>
      </c>
      <c r="I205" s="42" t="s">
        <v>120</v>
      </c>
      <c r="J205" s="21">
        <v>50</v>
      </c>
      <c r="K205" s="21">
        <v>125</v>
      </c>
      <c r="L205" s="10">
        <v>22750</v>
      </c>
      <c r="M205" s="10">
        <v>22750</v>
      </c>
    </row>
    <row r="206" spans="1:13" x14ac:dyDescent="0.25">
      <c r="A206" s="41">
        <v>202007</v>
      </c>
      <c r="B206" s="41">
        <v>47</v>
      </c>
      <c r="C206" s="42" t="s">
        <v>111</v>
      </c>
      <c r="D206" s="58">
        <v>82873068000654</v>
      </c>
      <c r="E206" s="46" t="b">
        <v>0</v>
      </c>
      <c r="F206" s="46" t="b">
        <v>1</v>
      </c>
      <c r="G206" s="46" t="b">
        <v>1</v>
      </c>
      <c r="H206" s="42" t="s">
        <v>94</v>
      </c>
      <c r="I206" s="42" t="s">
        <v>128</v>
      </c>
      <c r="J206" s="21">
        <v>800</v>
      </c>
      <c r="K206" s="21">
        <v>800</v>
      </c>
      <c r="L206" s="10">
        <v>119215.73</v>
      </c>
      <c r="M206" s="10">
        <v>119215.73</v>
      </c>
    </row>
    <row r="207" spans="1:13" x14ac:dyDescent="0.25">
      <c r="A207" s="41">
        <v>202007</v>
      </c>
      <c r="B207" s="41">
        <v>45</v>
      </c>
      <c r="C207" s="42" t="s">
        <v>137</v>
      </c>
      <c r="D207" s="58">
        <v>46374500011803</v>
      </c>
      <c r="E207" s="46" t="b">
        <v>0</v>
      </c>
      <c r="F207" s="46" t="b">
        <v>0</v>
      </c>
      <c r="G207" s="46" t="b">
        <v>1</v>
      </c>
      <c r="H207" s="42" t="s">
        <v>112</v>
      </c>
      <c r="I207" s="42" t="s">
        <v>120</v>
      </c>
      <c r="J207" s="21">
        <v>750</v>
      </c>
      <c r="K207" s="21">
        <v>750</v>
      </c>
      <c r="L207" s="10">
        <v>66375</v>
      </c>
      <c r="M207" s="10">
        <v>66375</v>
      </c>
    </row>
    <row r="208" spans="1:13" x14ac:dyDescent="0.25">
      <c r="A208" s="41">
        <v>202007</v>
      </c>
      <c r="B208" s="41">
        <v>73</v>
      </c>
      <c r="C208" s="42" t="s">
        <v>138</v>
      </c>
      <c r="D208" s="58">
        <v>82873068000654</v>
      </c>
      <c r="E208" s="46" t="b">
        <v>0</v>
      </c>
      <c r="F208" s="46" t="b">
        <v>1</v>
      </c>
      <c r="G208" s="46" t="b">
        <v>1</v>
      </c>
      <c r="H208" s="42" t="s">
        <v>94</v>
      </c>
      <c r="I208" s="42" t="s">
        <v>128</v>
      </c>
      <c r="J208" s="21">
        <v>25</v>
      </c>
      <c r="K208" s="21">
        <v>50</v>
      </c>
      <c r="L208" s="10">
        <v>11615.96</v>
      </c>
      <c r="M208" s="10">
        <v>11615.96</v>
      </c>
    </row>
    <row r="209" spans="1:13" x14ac:dyDescent="0.25">
      <c r="A209" s="41">
        <v>202007</v>
      </c>
      <c r="B209" s="41">
        <v>70</v>
      </c>
      <c r="C209" s="42" t="s">
        <v>139</v>
      </c>
      <c r="D209" s="58">
        <v>5816630000152</v>
      </c>
      <c r="E209" s="46" t="b">
        <v>0</v>
      </c>
      <c r="F209" s="46" t="b">
        <v>0</v>
      </c>
      <c r="G209" s="46" t="b">
        <v>1</v>
      </c>
      <c r="H209" s="42" t="s">
        <v>96</v>
      </c>
      <c r="I209" s="42" t="s">
        <v>130</v>
      </c>
      <c r="J209" s="21">
        <v>87</v>
      </c>
      <c r="K209" s="21">
        <v>435</v>
      </c>
      <c r="L209" s="10">
        <v>88649.52</v>
      </c>
      <c r="M209" s="10">
        <v>88649.52</v>
      </c>
    </row>
    <row r="210" spans="1:13" x14ac:dyDescent="0.25">
      <c r="A210" s="41">
        <v>202007</v>
      </c>
      <c r="B210" s="41">
        <v>70</v>
      </c>
      <c r="C210" s="42" t="s">
        <v>139</v>
      </c>
      <c r="D210" s="58">
        <v>5816630000152</v>
      </c>
      <c r="E210" s="46" t="b">
        <v>0</v>
      </c>
      <c r="F210" s="46" t="b">
        <v>0</v>
      </c>
      <c r="G210" s="46" t="b">
        <v>1</v>
      </c>
      <c r="H210" s="42" t="s">
        <v>96</v>
      </c>
      <c r="I210" s="42" t="s">
        <v>130</v>
      </c>
      <c r="J210" s="21">
        <v>36</v>
      </c>
      <c r="K210" s="21">
        <v>180</v>
      </c>
      <c r="L210" s="10">
        <v>36682.559999999998</v>
      </c>
      <c r="M210" s="10">
        <v>36682.559999999998</v>
      </c>
    </row>
    <row r="211" spans="1:13" x14ac:dyDescent="0.25">
      <c r="A211" s="41">
        <v>202007</v>
      </c>
      <c r="B211" s="41">
        <v>73</v>
      </c>
      <c r="C211" s="42" t="s">
        <v>141</v>
      </c>
      <c r="D211" s="58">
        <v>82873068000654</v>
      </c>
      <c r="E211" s="46" t="b">
        <v>0</v>
      </c>
      <c r="F211" s="46" t="b">
        <v>1</v>
      </c>
      <c r="G211" s="46" t="b">
        <v>1</v>
      </c>
      <c r="H211" s="42" t="s">
        <v>94</v>
      </c>
      <c r="I211" s="42" t="s">
        <v>128</v>
      </c>
      <c r="J211" s="21">
        <v>10</v>
      </c>
      <c r="K211" s="21">
        <v>40</v>
      </c>
      <c r="L211" s="10">
        <v>9292.61</v>
      </c>
      <c r="M211" s="10">
        <v>9292.61</v>
      </c>
    </row>
    <row r="212" spans="1:13" x14ac:dyDescent="0.25">
      <c r="A212" s="41">
        <v>202007</v>
      </c>
      <c r="B212" s="41">
        <v>45</v>
      </c>
      <c r="C212" s="42" t="s">
        <v>137</v>
      </c>
      <c r="D212" s="58">
        <v>87020517000120</v>
      </c>
      <c r="E212" s="46" t="b">
        <v>0</v>
      </c>
      <c r="F212" s="46" t="b">
        <v>0</v>
      </c>
      <c r="G212" s="46" t="b">
        <v>1</v>
      </c>
      <c r="H212" s="42" t="s">
        <v>94</v>
      </c>
      <c r="I212" s="42" t="s">
        <v>126</v>
      </c>
      <c r="J212" s="21">
        <v>165</v>
      </c>
      <c r="K212" s="21">
        <v>165</v>
      </c>
      <c r="L212" s="10">
        <v>13530</v>
      </c>
      <c r="M212" s="10">
        <v>13530</v>
      </c>
    </row>
    <row r="213" spans="1:13" x14ac:dyDescent="0.25">
      <c r="A213" s="41">
        <v>202007</v>
      </c>
      <c r="B213" s="41">
        <v>64</v>
      </c>
      <c r="C213" s="42" t="s">
        <v>133</v>
      </c>
      <c r="D213" s="58">
        <v>25211499000379</v>
      </c>
      <c r="E213" s="46" t="b">
        <v>0</v>
      </c>
      <c r="F213" s="46" t="b">
        <v>1</v>
      </c>
      <c r="G213" s="46" t="b">
        <v>1</v>
      </c>
      <c r="H213" s="42" t="s">
        <v>96</v>
      </c>
      <c r="I213" s="42" t="s">
        <v>122</v>
      </c>
      <c r="J213" s="21">
        <v>80</v>
      </c>
      <c r="K213" s="21">
        <v>80</v>
      </c>
      <c r="L213" s="10">
        <v>73185.789999999994</v>
      </c>
      <c r="M213" s="10">
        <v>73185.789999999994</v>
      </c>
    </row>
    <row r="214" spans="1:13" x14ac:dyDescent="0.25">
      <c r="A214" s="41">
        <v>202007</v>
      </c>
      <c r="B214" s="41">
        <v>45</v>
      </c>
      <c r="C214" s="42" t="s">
        <v>137</v>
      </c>
      <c r="D214" s="58">
        <v>82873068000573</v>
      </c>
      <c r="E214" s="46" t="b">
        <v>0</v>
      </c>
      <c r="F214" s="46" t="b">
        <v>1</v>
      </c>
      <c r="G214" s="46" t="b">
        <v>1</v>
      </c>
      <c r="H214" s="42" t="s">
        <v>94</v>
      </c>
      <c r="I214" s="42" t="s">
        <v>128</v>
      </c>
      <c r="J214" s="21">
        <v>500</v>
      </c>
      <c r="K214" s="21">
        <v>500</v>
      </c>
      <c r="L214" s="10">
        <v>47150.85</v>
      </c>
      <c r="M214" s="10">
        <v>47150.85</v>
      </c>
    </row>
    <row r="215" spans="1:13" x14ac:dyDescent="0.25">
      <c r="A215" s="41">
        <v>202007</v>
      </c>
      <c r="B215" s="41">
        <v>70</v>
      </c>
      <c r="C215" s="42" t="s">
        <v>139</v>
      </c>
      <c r="D215" s="58">
        <v>15126437000577</v>
      </c>
      <c r="E215" s="46" t="b">
        <v>0</v>
      </c>
      <c r="F215" s="46" t="b">
        <v>0</v>
      </c>
      <c r="G215" s="46" t="b">
        <v>1</v>
      </c>
      <c r="H215" s="42" t="s">
        <v>94</v>
      </c>
      <c r="I215" s="42" t="s">
        <v>95</v>
      </c>
      <c r="J215" s="21">
        <v>50</v>
      </c>
      <c r="K215" s="21">
        <v>250</v>
      </c>
      <c r="L215" s="10">
        <v>49500</v>
      </c>
      <c r="M215" s="10">
        <v>49500</v>
      </c>
    </row>
    <row r="216" spans="1:13" x14ac:dyDescent="0.25">
      <c r="A216" s="41">
        <v>202007</v>
      </c>
      <c r="B216" s="41">
        <v>47</v>
      </c>
      <c r="C216" s="42" t="s">
        <v>111</v>
      </c>
      <c r="D216" s="58">
        <v>82873068000573</v>
      </c>
      <c r="E216" s="46" t="b">
        <v>0</v>
      </c>
      <c r="F216" s="46" t="b">
        <v>1</v>
      </c>
      <c r="G216" s="46" t="b">
        <v>1</v>
      </c>
      <c r="H216" s="42" t="s">
        <v>94</v>
      </c>
      <c r="I216" s="42" t="s">
        <v>128</v>
      </c>
      <c r="J216" s="21">
        <v>600</v>
      </c>
      <c r="K216" s="21">
        <v>600</v>
      </c>
      <c r="L216" s="10">
        <v>89410.57</v>
      </c>
      <c r="M216" s="10">
        <v>89410.57</v>
      </c>
    </row>
    <row r="217" spans="1:13" x14ac:dyDescent="0.25">
      <c r="A217" s="41">
        <v>202007</v>
      </c>
      <c r="B217" s="41">
        <v>45</v>
      </c>
      <c r="C217" s="42" t="s">
        <v>137</v>
      </c>
      <c r="D217" s="58">
        <v>19843929001506</v>
      </c>
      <c r="E217" s="46" t="b">
        <v>0</v>
      </c>
      <c r="F217" s="46" t="b">
        <v>0</v>
      </c>
      <c r="G217" s="46" t="b">
        <v>1</v>
      </c>
      <c r="H217" s="42" t="s">
        <v>94</v>
      </c>
      <c r="I217" s="42" t="s">
        <v>95</v>
      </c>
      <c r="J217" s="21">
        <v>36</v>
      </c>
      <c r="K217" s="21">
        <v>36</v>
      </c>
      <c r="L217" s="10">
        <v>3188.16</v>
      </c>
      <c r="M217" s="10">
        <v>3188.16</v>
      </c>
    </row>
    <row r="218" spans="1:13" x14ac:dyDescent="0.25">
      <c r="A218" s="41">
        <v>202007</v>
      </c>
      <c r="B218" s="41">
        <v>70</v>
      </c>
      <c r="C218" s="42" t="s">
        <v>139</v>
      </c>
      <c r="D218" s="58">
        <v>19843929001506</v>
      </c>
      <c r="E218" s="46" t="b">
        <v>0</v>
      </c>
      <c r="F218" s="46" t="b">
        <v>0</v>
      </c>
      <c r="G218" s="46" t="b">
        <v>1</v>
      </c>
      <c r="H218" s="42" t="s">
        <v>94</v>
      </c>
      <c r="I218" s="42" t="s">
        <v>95</v>
      </c>
      <c r="J218" s="21">
        <v>91</v>
      </c>
      <c r="K218" s="21">
        <v>455</v>
      </c>
      <c r="L218" s="10">
        <v>90545</v>
      </c>
      <c r="M218" s="10">
        <v>90545</v>
      </c>
    </row>
    <row r="219" spans="1:13" x14ac:dyDescent="0.25">
      <c r="A219" s="41">
        <v>202007</v>
      </c>
      <c r="B219" s="41">
        <v>73</v>
      </c>
      <c r="C219" s="42" t="s">
        <v>141</v>
      </c>
      <c r="D219" s="58">
        <v>21895020000148</v>
      </c>
      <c r="E219" s="46" t="b">
        <v>0</v>
      </c>
      <c r="F219" s="46" t="b">
        <v>1</v>
      </c>
      <c r="G219" s="46" t="b">
        <v>1</v>
      </c>
      <c r="H219" s="42" t="s">
        <v>96</v>
      </c>
      <c r="I219" s="42" t="s">
        <v>97</v>
      </c>
      <c r="J219" s="21">
        <v>40</v>
      </c>
      <c r="K219" s="21">
        <v>160</v>
      </c>
      <c r="L219" s="10">
        <v>36325.629999999997</v>
      </c>
      <c r="M219" s="10">
        <v>36325.629999999997</v>
      </c>
    </row>
    <row r="220" spans="1:13" x14ac:dyDescent="0.25">
      <c r="A220" s="41">
        <v>202007</v>
      </c>
      <c r="B220" s="41">
        <v>45</v>
      </c>
      <c r="C220" s="42" t="s">
        <v>137</v>
      </c>
      <c r="D220" s="58">
        <v>31378288000166</v>
      </c>
      <c r="E220" s="46" t="b">
        <v>0</v>
      </c>
      <c r="F220" s="46" t="b">
        <v>1</v>
      </c>
      <c r="G220" s="46" t="b">
        <v>1</v>
      </c>
      <c r="H220" s="42" t="s">
        <v>112</v>
      </c>
      <c r="I220" s="42" t="s">
        <v>115</v>
      </c>
      <c r="J220" s="21">
        <v>10</v>
      </c>
      <c r="K220" s="21">
        <v>10</v>
      </c>
      <c r="L220" s="10">
        <v>885.58</v>
      </c>
      <c r="M220" s="10">
        <v>885.58</v>
      </c>
    </row>
    <row r="221" spans="1:13" x14ac:dyDescent="0.25">
      <c r="A221" s="41">
        <v>202007</v>
      </c>
      <c r="B221" s="41">
        <v>67</v>
      </c>
      <c r="C221" s="42" t="s">
        <v>240</v>
      </c>
      <c r="D221" s="58">
        <v>31378288000166</v>
      </c>
      <c r="E221" s="46" t="b">
        <v>0</v>
      </c>
      <c r="F221" s="46" t="b">
        <v>1</v>
      </c>
      <c r="G221" s="46" t="b">
        <v>1</v>
      </c>
      <c r="H221" s="42" t="s">
        <v>112</v>
      </c>
      <c r="I221" s="42" t="s">
        <v>115</v>
      </c>
      <c r="J221" s="21">
        <v>10</v>
      </c>
      <c r="K221" s="21">
        <v>10</v>
      </c>
      <c r="L221" s="10">
        <v>14.55</v>
      </c>
      <c r="M221" s="10">
        <v>14.55</v>
      </c>
    </row>
    <row r="222" spans="1:13" x14ac:dyDescent="0.25">
      <c r="A222" s="41">
        <v>202007</v>
      </c>
      <c r="B222" s="41">
        <v>56</v>
      </c>
      <c r="C222" s="42" t="s">
        <v>136</v>
      </c>
      <c r="D222" s="58">
        <v>82873068000573</v>
      </c>
      <c r="E222" s="46" t="b">
        <v>0</v>
      </c>
      <c r="F222" s="46" t="b">
        <v>1</v>
      </c>
      <c r="G222" s="46" t="b">
        <v>1</v>
      </c>
      <c r="H222" s="42" t="s">
        <v>94</v>
      </c>
      <c r="I222" s="42" t="s">
        <v>128</v>
      </c>
      <c r="J222" s="21">
        <v>400</v>
      </c>
      <c r="K222" s="21">
        <v>400</v>
      </c>
      <c r="L222" s="10">
        <v>15068.28</v>
      </c>
      <c r="M222" s="10">
        <v>15068.28</v>
      </c>
    </row>
    <row r="223" spans="1:13" x14ac:dyDescent="0.25">
      <c r="A223" s="41">
        <v>202007</v>
      </c>
      <c r="B223" s="41">
        <v>45</v>
      </c>
      <c r="C223" s="42" t="s">
        <v>137</v>
      </c>
      <c r="D223" s="58">
        <v>394544017150</v>
      </c>
      <c r="E223" s="46" t="b">
        <v>0</v>
      </c>
      <c r="F223" s="46" t="b">
        <v>0</v>
      </c>
      <c r="G223" s="46" t="b">
        <v>1</v>
      </c>
      <c r="H223" s="42" t="s">
        <v>94</v>
      </c>
      <c r="I223" s="42" t="s">
        <v>124</v>
      </c>
      <c r="J223" s="21">
        <v>1000</v>
      </c>
      <c r="K223" s="21">
        <v>1000</v>
      </c>
      <c r="L223" s="10">
        <v>83200</v>
      </c>
      <c r="M223" s="10">
        <v>83200</v>
      </c>
    </row>
    <row r="224" spans="1:13" x14ac:dyDescent="0.25">
      <c r="A224" s="41">
        <v>202007</v>
      </c>
      <c r="B224" s="41">
        <v>73</v>
      </c>
      <c r="C224" s="42" t="s">
        <v>135</v>
      </c>
      <c r="D224" s="58">
        <v>82873068000573</v>
      </c>
      <c r="E224" s="46" t="b">
        <v>0</v>
      </c>
      <c r="F224" s="46" t="b">
        <v>1</v>
      </c>
      <c r="G224" s="46" t="b">
        <v>1</v>
      </c>
      <c r="H224" s="42" t="s">
        <v>94</v>
      </c>
      <c r="I224" s="42" t="s">
        <v>128</v>
      </c>
      <c r="J224" s="21">
        <v>10</v>
      </c>
      <c r="K224" s="21">
        <v>10</v>
      </c>
      <c r="L224" s="10">
        <v>2323.12</v>
      </c>
      <c r="M224" s="10">
        <v>2323.12</v>
      </c>
    </row>
    <row r="225" spans="1:13" x14ac:dyDescent="0.25">
      <c r="A225" s="41">
        <v>202007</v>
      </c>
      <c r="B225" s="41">
        <v>73</v>
      </c>
      <c r="C225" s="42" t="s">
        <v>138</v>
      </c>
      <c r="D225" s="58">
        <v>82873068000573</v>
      </c>
      <c r="E225" s="46" t="b">
        <v>0</v>
      </c>
      <c r="F225" s="46" t="b">
        <v>1</v>
      </c>
      <c r="G225" s="46" t="b">
        <v>1</v>
      </c>
      <c r="H225" s="42" t="s">
        <v>94</v>
      </c>
      <c r="I225" s="42" t="s">
        <v>128</v>
      </c>
      <c r="J225" s="21">
        <v>10</v>
      </c>
      <c r="K225" s="21">
        <v>20</v>
      </c>
      <c r="L225" s="10">
        <v>4646.3999999999996</v>
      </c>
      <c r="M225" s="10">
        <v>4646.3999999999996</v>
      </c>
    </row>
    <row r="226" spans="1:13" x14ac:dyDescent="0.25">
      <c r="A226" s="41">
        <v>202007</v>
      </c>
      <c r="B226" s="41">
        <v>73</v>
      </c>
      <c r="C226" s="42" t="s">
        <v>138</v>
      </c>
      <c r="D226" s="58">
        <v>81887838000736</v>
      </c>
      <c r="E226" s="46" t="b">
        <v>0</v>
      </c>
      <c r="F226" s="46" t="b">
        <v>1</v>
      </c>
      <c r="G226" s="46" t="b">
        <v>1</v>
      </c>
      <c r="H226" s="42" t="s">
        <v>112</v>
      </c>
      <c r="I226" s="42" t="s">
        <v>120</v>
      </c>
      <c r="J226" s="21">
        <v>37</v>
      </c>
      <c r="K226" s="21">
        <v>74</v>
      </c>
      <c r="L226" s="10">
        <v>17191.62</v>
      </c>
      <c r="M226" s="10">
        <v>17191.62</v>
      </c>
    </row>
    <row r="227" spans="1:13" x14ac:dyDescent="0.25">
      <c r="A227" s="41">
        <v>202007</v>
      </c>
      <c r="B227" s="41">
        <v>73</v>
      </c>
      <c r="C227" s="42" t="s">
        <v>138</v>
      </c>
      <c r="D227" s="58">
        <v>81887838000736</v>
      </c>
      <c r="E227" s="46" t="b">
        <v>0</v>
      </c>
      <c r="F227" s="46" t="b">
        <v>1</v>
      </c>
      <c r="G227" s="46" t="b">
        <v>1</v>
      </c>
      <c r="H227" s="42" t="s">
        <v>112</v>
      </c>
      <c r="I227" s="42" t="s">
        <v>120</v>
      </c>
      <c r="J227" s="21">
        <v>111</v>
      </c>
      <c r="K227" s="21">
        <v>222</v>
      </c>
      <c r="L227" s="10">
        <v>51574.86</v>
      </c>
      <c r="M227" s="10">
        <v>51574.86</v>
      </c>
    </row>
    <row r="228" spans="1:13" x14ac:dyDescent="0.25">
      <c r="A228" s="41">
        <v>202007</v>
      </c>
      <c r="B228" s="41">
        <v>73</v>
      </c>
      <c r="C228" s="42" t="s">
        <v>141</v>
      </c>
      <c r="D228" s="58">
        <v>81887838000736</v>
      </c>
      <c r="E228" s="46" t="b">
        <v>0</v>
      </c>
      <c r="F228" s="46" t="b">
        <v>1</v>
      </c>
      <c r="G228" s="46" t="b">
        <v>1</v>
      </c>
      <c r="H228" s="42" t="s">
        <v>112</v>
      </c>
      <c r="I228" s="42" t="s">
        <v>120</v>
      </c>
      <c r="J228" s="21">
        <v>150</v>
      </c>
      <c r="K228" s="21">
        <v>600</v>
      </c>
      <c r="L228" s="10">
        <v>139389.07</v>
      </c>
      <c r="M228" s="10">
        <v>139389.07</v>
      </c>
    </row>
    <row r="229" spans="1:13" x14ac:dyDescent="0.25">
      <c r="A229" s="41">
        <v>202007</v>
      </c>
      <c r="B229" s="41">
        <v>73</v>
      </c>
      <c r="C229" s="42" t="s">
        <v>141</v>
      </c>
      <c r="D229" s="58">
        <v>81887838000736</v>
      </c>
      <c r="E229" s="46" t="b">
        <v>0</v>
      </c>
      <c r="F229" s="46" t="b">
        <v>1</v>
      </c>
      <c r="G229" s="46" t="b">
        <v>1</v>
      </c>
      <c r="H229" s="42" t="s">
        <v>112</v>
      </c>
      <c r="I229" s="42" t="s">
        <v>120</v>
      </c>
      <c r="J229" s="21">
        <v>67</v>
      </c>
      <c r="K229" s="21">
        <v>268</v>
      </c>
      <c r="L229" s="10">
        <v>62260.45</v>
      </c>
      <c r="M229" s="10">
        <v>62260.45</v>
      </c>
    </row>
    <row r="230" spans="1:13" x14ac:dyDescent="0.25">
      <c r="A230" s="41">
        <v>202007</v>
      </c>
      <c r="B230" s="41">
        <v>73</v>
      </c>
      <c r="C230" s="42" t="s">
        <v>135</v>
      </c>
      <c r="D230" s="58">
        <v>81887838000736</v>
      </c>
      <c r="E230" s="46" t="b">
        <v>0</v>
      </c>
      <c r="F230" s="46" t="b">
        <v>1</v>
      </c>
      <c r="G230" s="46" t="b">
        <v>1</v>
      </c>
      <c r="H230" s="42" t="s">
        <v>112</v>
      </c>
      <c r="I230" s="42" t="s">
        <v>120</v>
      </c>
      <c r="J230" s="21">
        <v>100</v>
      </c>
      <c r="K230" s="21">
        <v>100</v>
      </c>
      <c r="L230" s="10">
        <v>23231.1</v>
      </c>
      <c r="M230" s="10">
        <v>23231.1</v>
      </c>
    </row>
    <row r="231" spans="1:13" x14ac:dyDescent="0.25">
      <c r="A231" s="41">
        <v>202007</v>
      </c>
      <c r="B231" s="41">
        <v>47</v>
      </c>
      <c r="C231" s="42" t="s">
        <v>111</v>
      </c>
      <c r="D231" s="58">
        <v>81887838000736</v>
      </c>
      <c r="E231" s="46" t="b">
        <v>0</v>
      </c>
      <c r="F231" s="46" t="b">
        <v>1</v>
      </c>
      <c r="G231" s="46" t="b">
        <v>1</v>
      </c>
      <c r="H231" s="42" t="s">
        <v>112</v>
      </c>
      <c r="I231" s="42" t="s">
        <v>120</v>
      </c>
      <c r="J231" s="21">
        <v>307</v>
      </c>
      <c r="K231" s="21">
        <v>307</v>
      </c>
      <c r="L231" s="10">
        <v>45749.03</v>
      </c>
      <c r="M231" s="10">
        <v>45749.03</v>
      </c>
    </row>
    <row r="232" spans="1:13" x14ac:dyDescent="0.25">
      <c r="A232" s="41">
        <v>202007</v>
      </c>
      <c r="B232" s="41">
        <v>56</v>
      </c>
      <c r="C232" s="42" t="s">
        <v>136</v>
      </c>
      <c r="D232" s="58">
        <v>2873606000167</v>
      </c>
      <c r="E232" s="46" t="b">
        <v>0</v>
      </c>
      <c r="F232" s="46" t="b">
        <v>1</v>
      </c>
      <c r="G232" s="46" t="b">
        <v>1</v>
      </c>
      <c r="H232" s="42" t="s">
        <v>94</v>
      </c>
      <c r="I232" s="42" t="s">
        <v>126</v>
      </c>
      <c r="J232" s="21">
        <v>200</v>
      </c>
      <c r="K232" s="21">
        <v>200</v>
      </c>
      <c r="L232" s="10">
        <v>6823.31</v>
      </c>
      <c r="M232" s="10">
        <v>6823.31</v>
      </c>
    </row>
    <row r="233" spans="1:13" x14ac:dyDescent="0.25">
      <c r="A233" s="41">
        <v>202007</v>
      </c>
      <c r="B233" s="41">
        <v>70</v>
      </c>
      <c r="C233" s="42" t="s">
        <v>139</v>
      </c>
      <c r="D233" s="58">
        <v>46374500026231</v>
      </c>
      <c r="E233" s="46" t="b">
        <v>0</v>
      </c>
      <c r="F233" s="46" t="b">
        <v>0</v>
      </c>
      <c r="G233" s="46" t="b">
        <v>1</v>
      </c>
      <c r="H233" s="42" t="s">
        <v>112</v>
      </c>
      <c r="I233" s="42" t="s">
        <v>134</v>
      </c>
      <c r="J233" s="21">
        <v>8</v>
      </c>
      <c r="K233" s="21">
        <v>40</v>
      </c>
      <c r="L233" s="10">
        <v>7280</v>
      </c>
      <c r="M233" s="10">
        <v>7280</v>
      </c>
    </row>
    <row r="234" spans="1:13" x14ac:dyDescent="0.25">
      <c r="A234" s="41">
        <v>202007</v>
      </c>
      <c r="B234" s="41">
        <v>73</v>
      </c>
      <c r="C234" s="42" t="s">
        <v>141</v>
      </c>
      <c r="D234" s="58">
        <v>82873068000573</v>
      </c>
      <c r="E234" s="46" t="b">
        <v>0</v>
      </c>
      <c r="F234" s="46" t="b">
        <v>1</v>
      </c>
      <c r="G234" s="46" t="b">
        <v>1</v>
      </c>
      <c r="H234" s="42" t="s">
        <v>94</v>
      </c>
      <c r="I234" s="42" t="s">
        <v>128</v>
      </c>
      <c r="J234" s="21">
        <v>10</v>
      </c>
      <c r="K234" s="21">
        <v>40</v>
      </c>
      <c r="L234" s="10">
        <v>9292.64</v>
      </c>
      <c r="M234" s="10">
        <v>9292.64</v>
      </c>
    </row>
    <row r="235" spans="1:13" x14ac:dyDescent="0.25">
      <c r="A235" s="41">
        <v>202007</v>
      </c>
      <c r="B235" s="41">
        <v>56</v>
      </c>
      <c r="C235" s="42" t="s">
        <v>136</v>
      </c>
      <c r="D235" s="58">
        <v>4027894000750</v>
      </c>
      <c r="E235" s="46" t="b">
        <v>0</v>
      </c>
      <c r="F235" s="46" t="b">
        <v>1</v>
      </c>
      <c r="G235" s="46" t="b">
        <v>1</v>
      </c>
      <c r="H235" s="42" t="s">
        <v>112</v>
      </c>
      <c r="I235" s="42" t="s">
        <v>115</v>
      </c>
      <c r="J235" s="21">
        <v>631</v>
      </c>
      <c r="K235" s="21">
        <v>631</v>
      </c>
      <c r="L235" s="10">
        <v>21520.38</v>
      </c>
      <c r="M235" s="10">
        <v>21520.38</v>
      </c>
    </row>
    <row r="236" spans="1:13" x14ac:dyDescent="0.25">
      <c r="A236" s="41">
        <v>202007</v>
      </c>
      <c r="B236" s="41">
        <v>57</v>
      </c>
      <c r="C236" s="42" t="s">
        <v>146</v>
      </c>
      <c r="D236" s="58">
        <v>4027894000750</v>
      </c>
      <c r="E236" s="46" t="b">
        <v>0</v>
      </c>
      <c r="F236" s="46" t="b">
        <v>1</v>
      </c>
      <c r="G236" s="46" t="b">
        <v>1</v>
      </c>
      <c r="H236" s="42" t="s">
        <v>112</v>
      </c>
      <c r="I236" s="42" t="s">
        <v>115</v>
      </c>
      <c r="J236" s="21">
        <v>40</v>
      </c>
      <c r="K236" s="21">
        <v>40</v>
      </c>
      <c r="L236" s="10">
        <v>15376.81</v>
      </c>
      <c r="M236" s="10">
        <v>15376.81</v>
      </c>
    </row>
    <row r="237" spans="1:13" x14ac:dyDescent="0.25">
      <c r="A237" s="41">
        <v>202007</v>
      </c>
      <c r="B237" s="41">
        <v>45</v>
      </c>
      <c r="C237" s="42" t="s">
        <v>137</v>
      </c>
      <c r="D237" s="58">
        <v>31378288000166</v>
      </c>
      <c r="E237" s="46" t="b">
        <v>0</v>
      </c>
      <c r="F237" s="46" t="b">
        <v>1</v>
      </c>
      <c r="G237" s="46" t="b">
        <v>1</v>
      </c>
      <c r="H237" s="42" t="s">
        <v>112</v>
      </c>
      <c r="I237" s="42" t="s">
        <v>115</v>
      </c>
      <c r="J237" s="21">
        <v>380</v>
      </c>
      <c r="K237" s="21">
        <v>380</v>
      </c>
      <c r="L237" s="10">
        <v>31439.79</v>
      </c>
      <c r="M237" s="10">
        <v>31439.79</v>
      </c>
    </row>
    <row r="238" spans="1:13" x14ac:dyDescent="0.25">
      <c r="A238" s="41">
        <v>202007</v>
      </c>
      <c r="B238" s="41">
        <v>47</v>
      </c>
      <c r="C238" s="42" t="s">
        <v>111</v>
      </c>
      <c r="D238" s="58">
        <v>20001049000176</v>
      </c>
      <c r="E238" s="46" t="b">
        <v>0</v>
      </c>
      <c r="F238" s="46" t="b">
        <v>1</v>
      </c>
      <c r="G238" s="46" t="b">
        <v>1</v>
      </c>
      <c r="H238" s="42" t="s">
        <v>96</v>
      </c>
      <c r="I238" s="42" t="s">
        <v>130</v>
      </c>
      <c r="J238" s="21">
        <v>100</v>
      </c>
      <c r="K238" s="21">
        <v>100</v>
      </c>
      <c r="L238" s="10">
        <v>14901.97</v>
      </c>
      <c r="M238" s="10">
        <v>14901.97</v>
      </c>
    </row>
    <row r="239" spans="1:13" x14ac:dyDescent="0.25">
      <c r="A239" s="41">
        <v>202007</v>
      </c>
      <c r="B239" s="41">
        <v>45</v>
      </c>
      <c r="C239" s="42" t="s">
        <v>137</v>
      </c>
      <c r="D239" s="58">
        <v>20001049000176</v>
      </c>
      <c r="E239" s="46" t="b">
        <v>0</v>
      </c>
      <c r="F239" s="46" t="b">
        <v>1</v>
      </c>
      <c r="G239" s="46" t="b">
        <v>1</v>
      </c>
      <c r="H239" s="42" t="s">
        <v>96</v>
      </c>
      <c r="I239" s="42" t="s">
        <v>130</v>
      </c>
      <c r="J239" s="21">
        <v>40</v>
      </c>
      <c r="K239" s="21">
        <v>40</v>
      </c>
      <c r="L239" s="10">
        <v>3607.68</v>
      </c>
      <c r="M239" s="10">
        <v>3607.68</v>
      </c>
    </row>
    <row r="240" spans="1:13" x14ac:dyDescent="0.25">
      <c r="A240" s="41">
        <v>202007</v>
      </c>
      <c r="B240" s="41">
        <v>45</v>
      </c>
      <c r="C240" s="42" t="s">
        <v>137</v>
      </c>
      <c r="D240" s="58">
        <v>19843929001506</v>
      </c>
      <c r="E240" s="46" t="b">
        <v>0</v>
      </c>
      <c r="F240" s="46" t="b">
        <v>0</v>
      </c>
      <c r="G240" s="46" t="b">
        <v>1</v>
      </c>
      <c r="H240" s="42" t="s">
        <v>94</v>
      </c>
      <c r="I240" s="42" t="s">
        <v>95</v>
      </c>
      <c r="J240" s="21">
        <v>-36</v>
      </c>
      <c r="K240" s="21">
        <v>-36</v>
      </c>
      <c r="L240" s="10">
        <v>-3188.16</v>
      </c>
      <c r="M240" s="10">
        <v>-3188.16</v>
      </c>
    </row>
    <row r="241" spans="1:13" x14ac:dyDescent="0.25">
      <c r="A241" s="41">
        <v>202007</v>
      </c>
      <c r="B241" s="41">
        <v>70</v>
      </c>
      <c r="C241" s="42" t="s">
        <v>139</v>
      </c>
      <c r="D241" s="58">
        <v>19843929001506</v>
      </c>
      <c r="E241" s="46" t="b">
        <v>0</v>
      </c>
      <c r="F241" s="46" t="b">
        <v>0</v>
      </c>
      <c r="G241" s="46" t="b">
        <v>1</v>
      </c>
      <c r="H241" s="42" t="s">
        <v>94</v>
      </c>
      <c r="I241" s="42" t="s">
        <v>95</v>
      </c>
      <c r="J241" s="21">
        <v>-91</v>
      </c>
      <c r="K241" s="21">
        <v>-455</v>
      </c>
      <c r="L241" s="10">
        <v>-90545</v>
      </c>
      <c r="M241" s="10">
        <v>-90545</v>
      </c>
    </row>
    <row r="242" spans="1:13" x14ac:dyDescent="0.25">
      <c r="A242" s="41">
        <v>202007</v>
      </c>
      <c r="B242" s="41">
        <v>45</v>
      </c>
      <c r="C242" s="42" t="s">
        <v>137</v>
      </c>
      <c r="D242" s="58">
        <v>19843929001506</v>
      </c>
      <c r="E242" s="46" t="b">
        <v>0</v>
      </c>
      <c r="F242" s="46" t="b">
        <v>0</v>
      </c>
      <c r="G242" s="46" t="b">
        <v>1</v>
      </c>
      <c r="H242" s="42" t="s">
        <v>94</v>
      </c>
      <c r="I242" s="42" t="s">
        <v>95</v>
      </c>
      <c r="J242" s="21">
        <v>36</v>
      </c>
      <c r="K242" s="21">
        <v>36</v>
      </c>
      <c r="L242" s="10">
        <v>3188.16</v>
      </c>
      <c r="M242" s="10">
        <v>3188.16</v>
      </c>
    </row>
    <row r="243" spans="1:13" x14ac:dyDescent="0.25">
      <c r="A243" s="41">
        <v>202007</v>
      </c>
      <c r="B243" s="41">
        <v>70</v>
      </c>
      <c r="C243" s="42" t="s">
        <v>139</v>
      </c>
      <c r="D243" s="58">
        <v>19843929001506</v>
      </c>
      <c r="E243" s="46" t="b">
        <v>0</v>
      </c>
      <c r="F243" s="46" t="b">
        <v>0</v>
      </c>
      <c r="G243" s="46" t="b">
        <v>1</v>
      </c>
      <c r="H243" s="42" t="s">
        <v>94</v>
      </c>
      <c r="I243" s="42" t="s">
        <v>95</v>
      </c>
      <c r="J243" s="21">
        <v>91</v>
      </c>
      <c r="K243" s="21">
        <v>455</v>
      </c>
      <c r="L243" s="10">
        <v>90545</v>
      </c>
      <c r="M243" s="10">
        <v>90545</v>
      </c>
    </row>
    <row r="244" spans="1:13" x14ac:dyDescent="0.25">
      <c r="A244" s="41">
        <v>202007</v>
      </c>
      <c r="B244" s="41">
        <v>45</v>
      </c>
      <c r="C244" s="42" t="s">
        <v>137</v>
      </c>
      <c r="D244" s="58">
        <v>19843929001506</v>
      </c>
      <c r="E244" s="46" t="b">
        <v>0</v>
      </c>
      <c r="F244" s="46" t="b">
        <v>0</v>
      </c>
      <c r="G244" s="46" t="b">
        <v>1</v>
      </c>
      <c r="H244" s="42" t="s">
        <v>94</v>
      </c>
      <c r="I244" s="42" t="s">
        <v>95</v>
      </c>
      <c r="J244" s="21">
        <v>-36</v>
      </c>
      <c r="K244" s="21">
        <v>-36</v>
      </c>
      <c r="L244" s="10">
        <v>-3188.16</v>
      </c>
      <c r="M244" s="10">
        <v>-3188.16</v>
      </c>
    </row>
    <row r="245" spans="1:13" x14ac:dyDescent="0.25">
      <c r="A245" s="41">
        <v>202007</v>
      </c>
      <c r="B245" s="41">
        <v>70</v>
      </c>
      <c r="C245" s="42" t="s">
        <v>139</v>
      </c>
      <c r="D245" s="58">
        <v>19843929001506</v>
      </c>
      <c r="E245" s="46" t="b">
        <v>0</v>
      </c>
      <c r="F245" s="46" t="b">
        <v>0</v>
      </c>
      <c r="G245" s="46" t="b">
        <v>1</v>
      </c>
      <c r="H245" s="42" t="s">
        <v>94</v>
      </c>
      <c r="I245" s="42" t="s">
        <v>95</v>
      </c>
      <c r="J245" s="21">
        <v>-91</v>
      </c>
      <c r="K245" s="21">
        <v>-455</v>
      </c>
      <c r="L245" s="10">
        <v>-90545</v>
      </c>
      <c r="M245" s="10">
        <v>-90545</v>
      </c>
    </row>
    <row r="246" spans="1:13" x14ac:dyDescent="0.25">
      <c r="A246" s="41">
        <v>202007</v>
      </c>
      <c r="B246" s="41">
        <v>45</v>
      </c>
      <c r="C246" s="42" t="s">
        <v>137</v>
      </c>
      <c r="D246" s="58">
        <v>19843929001506</v>
      </c>
      <c r="E246" s="46" t="b">
        <v>0</v>
      </c>
      <c r="F246" s="46" t="b">
        <v>0</v>
      </c>
      <c r="G246" s="46" t="b">
        <v>1</v>
      </c>
      <c r="H246" s="42" t="s">
        <v>94</v>
      </c>
      <c r="I246" s="42" t="s">
        <v>95</v>
      </c>
      <c r="J246" s="21">
        <v>36</v>
      </c>
      <c r="K246" s="21">
        <v>36</v>
      </c>
      <c r="L246" s="10">
        <v>3188.16</v>
      </c>
      <c r="M246" s="10">
        <v>3188.16</v>
      </c>
    </row>
    <row r="247" spans="1:13" x14ac:dyDescent="0.25">
      <c r="A247" s="41">
        <v>202007</v>
      </c>
      <c r="B247" s="41">
        <v>70</v>
      </c>
      <c r="C247" s="42" t="s">
        <v>139</v>
      </c>
      <c r="D247" s="58">
        <v>19843929001506</v>
      </c>
      <c r="E247" s="46" t="b">
        <v>0</v>
      </c>
      <c r="F247" s="46" t="b">
        <v>0</v>
      </c>
      <c r="G247" s="46" t="b">
        <v>1</v>
      </c>
      <c r="H247" s="42" t="s">
        <v>94</v>
      </c>
      <c r="I247" s="42" t="s">
        <v>95</v>
      </c>
      <c r="J247" s="21">
        <v>91</v>
      </c>
      <c r="K247" s="21">
        <v>455</v>
      </c>
      <c r="L247" s="10">
        <v>90545</v>
      </c>
      <c r="M247" s="10">
        <v>90545</v>
      </c>
    </row>
    <row r="248" spans="1:13" x14ac:dyDescent="0.25">
      <c r="A248" s="41">
        <v>202007</v>
      </c>
      <c r="B248" s="41">
        <v>47</v>
      </c>
      <c r="C248" s="42" t="s">
        <v>111</v>
      </c>
      <c r="D248" s="58">
        <v>7812105000194</v>
      </c>
      <c r="E248" s="46" t="b">
        <v>0</v>
      </c>
      <c r="F248" s="46" t="b">
        <v>1</v>
      </c>
      <c r="G248" s="46" t="b">
        <v>1</v>
      </c>
      <c r="H248" s="42" t="s">
        <v>96</v>
      </c>
      <c r="I248" s="42" t="s">
        <v>129</v>
      </c>
      <c r="J248" s="21">
        <v>500</v>
      </c>
      <c r="K248" s="21">
        <v>500</v>
      </c>
      <c r="L248" s="10">
        <v>74509.83</v>
      </c>
      <c r="M248" s="10">
        <v>74509.83</v>
      </c>
    </row>
    <row r="249" spans="1:13" x14ac:dyDescent="0.25">
      <c r="A249" s="41">
        <v>202007</v>
      </c>
      <c r="B249" s="41">
        <v>62</v>
      </c>
      <c r="C249" s="42" t="s">
        <v>132</v>
      </c>
      <c r="D249" s="58">
        <v>7812105000194</v>
      </c>
      <c r="E249" s="46" t="b">
        <v>0</v>
      </c>
      <c r="F249" s="46" t="b">
        <v>1</v>
      </c>
      <c r="G249" s="46" t="b">
        <v>1</v>
      </c>
      <c r="H249" s="42" t="s">
        <v>96</v>
      </c>
      <c r="I249" s="42" t="s">
        <v>129</v>
      </c>
      <c r="J249" s="21">
        <v>12</v>
      </c>
      <c r="K249" s="21">
        <v>12</v>
      </c>
      <c r="L249" s="10">
        <v>15320.46</v>
      </c>
      <c r="M249" s="10">
        <v>15320.46</v>
      </c>
    </row>
    <row r="250" spans="1:13" x14ac:dyDescent="0.25">
      <c r="A250" s="41">
        <v>202007</v>
      </c>
      <c r="B250" s="41">
        <v>47</v>
      </c>
      <c r="C250" s="42" t="s">
        <v>111</v>
      </c>
      <c r="D250" s="58">
        <v>15145035000196</v>
      </c>
      <c r="E250" s="46" t="b">
        <v>0</v>
      </c>
      <c r="F250" s="46" t="b">
        <v>1</v>
      </c>
      <c r="G250" s="46" t="b">
        <v>1</v>
      </c>
      <c r="H250" s="42" t="s">
        <v>96</v>
      </c>
      <c r="I250" s="42" t="s">
        <v>130</v>
      </c>
      <c r="J250" s="21">
        <v>40</v>
      </c>
      <c r="K250" s="21">
        <v>40</v>
      </c>
      <c r="L250" s="10">
        <v>5984.77</v>
      </c>
      <c r="M250" s="10">
        <v>5984.77</v>
      </c>
    </row>
    <row r="251" spans="1:13" x14ac:dyDescent="0.25">
      <c r="A251" s="41">
        <v>202007</v>
      </c>
      <c r="B251" s="41">
        <v>47</v>
      </c>
      <c r="C251" s="42" t="s">
        <v>111</v>
      </c>
      <c r="D251" s="58">
        <v>15145035000196</v>
      </c>
      <c r="E251" s="46" t="b">
        <v>0</v>
      </c>
      <c r="F251" s="46" t="b">
        <v>1</v>
      </c>
      <c r="G251" s="46" t="b">
        <v>1</v>
      </c>
      <c r="H251" s="42" t="s">
        <v>96</v>
      </c>
      <c r="I251" s="42" t="s">
        <v>130</v>
      </c>
      <c r="J251" s="21">
        <v>300</v>
      </c>
      <c r="K251" s="21">
        <v>300</v>
      </c>
      <c r="L251" s="10">
        <v>46341.48</v>
      </c>
      <c r="M251" s="10">
        <v>46341.48</v>
      </c>
    </row>
    <row r="252" spans="1:13" x14ac:dyDescent="0.25">
      <c r="A252" s="41">
        <v>202007</v>
      </c>
      <c r="B252" s="41">
        <v>47</v>
      </c>
      <c r="C252" s="42" t="s">
        <v>111</v>
      </c>
      <c r="D252" s="58">
        <v>15145035000196</v>
      </c>
      <c r="E252" s="46" t="b">
        <v>0</v>
      </c>
      <c r="F252" s="46" t="b">
        <v>1</v>
      </c>
      <c r="G252" s="46" t="b">
        <v>1</v>
      </c>
      <c r="H252" s="42" t="s">
        <v>96</v>
      </c>
      <c r="I252" s="42" t="s">
        <v>130</v>
      </c>
      <c r="J252" s="21">
        <v>75</v>
      </c>
      <c r="K252" s="21">
        <v>75</v>
      </c>
      <c r="L252" s="10">
        <v>11221.45</v>
      </c>
      <c r="M252" s="10">
        <v>11221.45</v>
      </c>
    </row>
    <row r="253" spans="1:13" x14ac:dyDescent="0.25">
      <c r="A253" s="41">
        <v>202007</v>
      </c>
      <c r="B253" s="41">
        <v>47</v>
      </c>
      <c r="C253" s="42" t="s">
        <v>111</v>
      </c>
      <c r="D253" s="58">
        <v>15145035000196</v>
      </c>
      <c r="E253" s="46" t="b">
        <v>0</v>
      </c>
      <c r="F253" s="46" t="b">
        <v>1</v>
      </c>
      <c r="G253" s="46" t="b">
        <v>1</v>
      </c>
      <c r="H253" s="42" t="s">
        <v>96</v>
      </c>
      <c r="I253" s="42" t="s">
        <v>130</v>
      </c>
      <c r="J253" s="21">
        <v>60</v>
      </c>
      <c r="K253" s="21">
        <v>60</v>
      </c>
      <c r="L253" s="10">
        <v>8977.16</v>
      </c>
      <c r="M253" s="10">
        <v>8977.16</v>
      </c>
    </row>
    <row r="254" spans="1:13" x14ac:dyDescent="0.25">
      <c r="A254" s="41">
        <v>202007</v>
      </c>
      <c r="B254" s="41">
        <v>45</v>
      </c>
      <c r="C254" s="42" t="s">
        <v>137</v>
      </c>
      <c r="D254" s="58">
        <v>82873068000735</v>
      </c>
      <c r="E254" s="46" t="b">
        <v>0</v>
      </c>
      <c r="F254" s="46" t="b">
        <v>1</v>
      </c>
      <c r="G254" s="46" t="b">
        <v>1</v>
      </c>
      <c r="H254" s="42" t="s">
        <v>94</v>
      </c>
      <c r="I254" s="42" t="s">
        <v>126</v>
      </c>
      <c r="J254" s="21">
        <v>500</v>
      </c>
      <c r="K254" s="21">
        <v>500</v>
      </c>
      <c r="L254" s="10">
        <v>47150.85</v>
      </c>
      <c r="M254" s="10">
        <v>47150.85</v>
      </c>
    </row>
    <row r="255" spans="1:13" x14ac:dyDescent="0.25">
      <c r="A255" s="41">
        <v>202007</v>
      </c>
      <c r="B255" s="41">
        <v>56</v>
      </c>
      <c r="C255" s="42" t="s">
        <v>136</v>
      </c>
      <c r="D255" s="58">
        <v>82873068000735</v>
      </c>
      <c r="E255" s="46" t="b">
        <v>0</v>
      </c>
      <c r="F255" s="46" t="b">
        <v>1</v>
      </c>
      <c r="G255" s="46" t="b">
        <v>1</v>
      </c>
      <c r="H255" s="42" t="s">
        <v>94</v>
      </c>
      <c r="I255" s="42" t="s">
        <v>126</v>
      </c>
      <c r="J255" s="21">
        <v>240</v>
      </c>
      <c r="K255" s="21">
        <v>240</v>
      </c>
      <c r="L255" s="10">
        <v>9040.9599999999991</v>
      </c>
      <c r="M255" s="10">
        <v>9040.9599999999991</v>
      </c>
    </row>
    <row r="256" spans="1:13" x14ac:dyDescent="0.25">
      <c r="A256" s="41">
        <v>202007</v>
      </c>
      <c r="B256" s="41">
        <v>47</v>
      </c>
      <c r="C256" s="42" t="s">
        <v>111</v>
      </c>
      <c r="D256" s="58">
        <v>82873068000735</v>
      </c>
      <c r="E256" s="46" t="b">
        <v>0</v>
      </c>
      <c r="F256" s="46" t="b">
        <v>1</v>
      </c>
      <c r="G256" s="46" t="b">
        <v>1</v>
      </c>
      <c r="H256" s="42" t="s">
        <v>94</v>
      </c>
      <c r="I256" s="42" t="s">
        <v>126</v>
      </c>
      <c r="J256" s="21">
        <v>900</v>
      </c>
      <c r="K256" s="21">
        <v>900</v>
      </c>
      <c r="L256" s="10">
        <v>134115.85</v>
      </c>
      <c r="M256" s="10">
        <v>134115.85</v>
      </c>
    </row>
    <row r="257" spans="1:13" x14ac:dyDescent="0.25">
      <c r="A257" s="41">
        <v>202007</v>
      </c>
      <c r="B257" s="41">
        <v>73</v>
      </c>
      <c r="C257" s="42" t="s">
        <v>135</v>
      </c>
      <c r="D257" s="58">
        <v>82873068000735</v>
      </c>
      <c r="E257" s="46" t="b">
        <v>0</v>
      </c>
      <c r="F257" s="46" t="b">
        <v>1</v>
      </c>
      <c r="G257" s="46" t="b">
        <v>1</v>
      </c>
      <c r="H257" s="42" t="s">
        <v>94</v>
      </c>
      <c r="I257" s="42" t="s">
        <v>126</v>
      </c>
      <c r="J257" s="21">
        <v>16</v>
      </c>
      <c r="K257" s="21">
        <v>16</v>
      </c>
      <c r="L257" s="10">
        <v>3717</v>
      </c>
      <c r="M257" s="10">
        <v>3717</v>
      </c>
    </row>
    <row r="258" spans="1:13" x14ac:dyDescent="0.25">
      <c r="A258" s="41">
        <v>202007</v>
      </c>
      <c r="B258" s="41">
        <v>73</v>
      </c>
      <c r="C258" s="42" t="s">
        <v>135</v>
      </c>
      <c r="D258" s="58">
        <v>82873068000735</v>
      </c>
      <c r="E258" s="46" t="b">
        <v>0</v>
      </c>
      <c r="F258" s="46" t="b">
        <v>1</v>
      </c>
      <c r="G258" s="46" t="b">
        <v>1</v>
      </c>
      <c r="H258" s="42" t="s">
        <v>94</v>
      </c>
      <c r="I258" s="42" t="s">
        <v>126</v>
      </c>
      <c r="J258" s="21">
        <v>4</v>
      </c>
      <c r="K258" s="21">
        <v>4</v>
      </c>
      <c r="L258" s="10">
        <v>929.24</v>
      </c>
      <c r="M258" s="10">
        <v>929.24</v>
      </c>
    </row>
    <row r="259" spans="1:13" x14ac:dyDescent="0.25">
      <c r="A259" s="41">
        <v>202007</v>
      </c>
      <c r="B259" s="41">
        <v>73</v>
      </c>
      <c r="C259" s="42" t="s">
        <v>138</v>
      </c>
      <c r="D259" s="58">
        <v>82873068000735</v>
      </c>
      <c r="E259" s="46" t="b">
        <v>0</v>
      </c>
      <c r="F259" s="46" t="b">
        <v>1</v>
      </c>
      <c r="G259" s="46" t="b">
        <v>1</v>
      </c>
      <c r="H259" s="42" t="s">
        <v>94</v>
      </c>
      <c r="I259" s="42" t="s">
        <v>126</v>
      </c>
      <c r="J259" s="21">
        <v>10</v>
      </c>
      <c r="K259" s="21">
        <v>20</v>
      </c>
      <c r="L259" s="10">
        <v>4646.3999999999996</v>
      </c>
      <c r="M259" s="10">
        <v>4646.3999999999996</v>
      </c>
    </row>
    <row r="260" spans="1:13" x14ac:dyDescent="0.25">
      <c r="A260" s="41">
        <v>202007</v>
      </c>
      <c r="B260" s="41">
        <v>73</v>
      </c>
      <c r="C260" s="42" t="s">
        <v>141</v>
      </c>
      <c r="D260" s="58">
        <v>82873068000735</v>
      </c>
      <c r="E260" s="46" t="b">
        <v>0</v>
      </c>
      <c r="F260" s="46" t="b">
        <v>1</v>
      </c>
      <c r="G260" s="46" t="b">
        <v>1</v>
      </c>
      <c r="H260" s="42" t="s">
        <v>94</v>
      </c>
      <c r="I260" s="42" t="s">
        <v>126</v>
      </c>
      <c r="J260" s="21">
        <v>10</v>
      </c>
      <c r="K260" s="21">
        <v>40</v>
      </c>
      <c r="L260" s="10">
        <v>9292.64</v>
      </c>
      <c r="M260" s="10">
        <v>9292.64</v>
      </c>
    </row>
    <row r="261" spans="1:13" x14ac:dyDescent="0.25">
      <c r="A261" s="41">
        <v>202007</v>
      </c>
      <c r="B261" s="41">
        <v>47</v>
      </c>
      <c r="C261" s="42" t="s">
        <v>111</v>
      </c>
      <c r="D261" s="58">
        <v>2873606000167</v>
      </c>
      <c r="E261" s="46" t="b">
        <v>0</v>
      </c>
      <c r="F261" s="46" t="b">
        <v>1</v>
      </c>
      <c r="G261" s="46" t="b">
        <v>1</v>
      </c>
      <c r="H261" s="42" t="s">
        <v>94</v>
      </c>
      <c r="I261" s="42" t="s">
        <v>126</v>
      </c>
      <c r="J261" s="21">
        <v>85</v>
      </c>
      <c r="K261" s="21">
        <v>85</v>
      </c>
      <c r="L261" s="10">
        <v>12715.93</v>
      </c>
      <c r="M261" s="10">
        <v>12715.93</v>
      </c>
    </row>
    <row r="262" spans="1:13" x14ac:dyDescent="0.25">
      <c r="A262" s="41">
        <v>202007</v>
      </c>
      <c r="B262" s="41">
        <v>56</v>
      </c>
      <c r="C262" s="42" t="s">
        <v>136</v>
      </c>
      <c r="D262" s="58">
        <v>2873606000167</v>
      </c>
      <c r="E262" s="46" t="b">
        <v>0</v>
      </c>
      <c r="F262" s="46" t="b">
        <v>1</v>
      </c>
      <c r="G262" s="46" t="b">
        <v>1</v>
      </c>
      <c r="H262" s="42" t="s">
        <v>94</v>
      </c>
      <c r="I262" s="42" t="s">
        <v>126</v>
      </c>
      <c r="J262" s="21">
        <v>10</v>
      </c>
      <c r="K262" s="21">
        <v>10</v>
      </c>
      <c r="L262" s="10">
        <v>341.17</v>
      </c>
      <c r="M262" s="10">
        <v>341.17</v>
      </c>
    </row>
    <row r="263" spans="1:13" x14ac:dyDescent="0.25">
      <c r="A263" s="41">
        <v>202007</v>
      </c>
      <c r="B263" s="41">
        <v>70</v>
      </c>
      <c r="C263" s="42" t="s">
        <v>139</v>
      </c>
      <c r="D263" s="58">
        <v>5268490000125</v>
      </c>
      <c r="E263" s="46" t="b">
        <v>0</v>
      </c>
      <c r="F263" s="46" t="b">
        <v>1</v>
      </c>
      <c r="G263" s="46" t="b">
        <v>1</v>
      </c>
      <c r="H263" s="42" t="s">
        <v>96</v>
      </c>
      <c r="I263" s="42" t="s">
        <v>117</v>
      </c>
      <c r="J263" s="21">
        <v>163</v>
      </c>
      <c r="K263" s="21">
        <v>815</v>
      </c>
      <c r="L263" s="10">
        <v>167067.32999999999</v>
      </c>
      <c r="M263" s="10">
        <v>167067.32999999999</v>
      </c>
    </row>
    <row r="264" spans="1:13" x14ac:dyDescent="0.25">
      <c r="A264" s="41">
        <v>202007</v>
      </c>
      <c r="B264" s="41">
        <v>70</v>
      </c>
      <c r="C264" s="42" t="s">
        <v>139</v>
      </c>
      <c r="D264" s="58">
        <v>5268490000125</v>
      </c>
      <c r="E264" s="46" t="b">
        <v>0</v>
      </c>
      <c r="F264" s="46" t="b">
        <v>1</v>
      </c>
      <c r="G264" s="46" t="b">
        <v>1</v>
      </c>
      <c r="H264" s="42" t="s">
        <v>96</v>
      </c>
      <c r="I264" s="42" t="s">
        <v>117</v>
      </c>
      <c r="J264" s="21">
        <v>37</v>
      </c>
      <c r="K264" s="21">
        <v>185</v>
      </c>
      <c r="L264" s="10">
        <v>37923.26</v>
      </c>
      <c r="M264" s="10">
        <v>37923.26</v>
      </c>
    </row>
    <row r="265" spans="1:13" x14ac:dyDescent="0.25">
      <c r="A265" s="41">
        <v>202007</v>
      </c>
      <c r="B265" s="41">
        <v>70</v>
      </c>
      <c r="C265" s="42" t="s">
        <v>140</v>
      </c>
      <c r="D265" s="58">
        <v>2873606000167</v>
      </c>
      <c r="E265" s="46" t="b">
        <v>0</v>
      </c>
      <c r="F265" s="46" t="b">
        <v>1</v>
      </c>
      <c r="G265" s="46" t="b">
        <v>1</v>
      </c>
      <c r="H265" s="42" t="s">
        <v>94</v>
      </c>
      <c r="I265" s="42" t="s">
        <v>126</v>
      </c>
      <c r="J265" s="21">
        <v>300</v>
      </c>
      <c r="K265" s="21">
        <v>3000</v>
      </c>
      <c r="L265" s="10">
        <v>546597.77</v>
      </c>
      <c r="M265" s="10">
        <v>546597.77</v>
      </c>
    </row>
    <row r="266" spans="1:13" x14ac:dyDescent="0.25">
      <c r="A266" s="41">
        <v>202007</v>
      </c>
      <c r="B266" s="41">
        <v>70</v>
      </c>
      <c r="C266" s="42" t="s">
        <v>139</v>
      </c>
      <c r="D266" s="58">
        <v>2873606000167</v>
      </c>
      <c r="E266" s="46" t="b">
        <v>0</v>
      </c>
      <c r="F266" s="46" t="b">
        <v>1</v>
      </c>
      <c r="G266" s="46" t="b">
        <v>1</v>
      </c>
      <c r="H266" s="42" t="s">
        <v>94</v>
      </c>
      <c r="I266" s="42" t="s">
        <v>126</v>
      </c>
      <c r="J266" s="21">
        <v>1500</v>
      </c>
      <c r="K266" s="21">
        <v>7500</v>
      </c>
      <c r="L266" s="10">
        <v>1297723.8700000001</v>
      </c>
      <c r="M266" s="10">
        <v>1297723.8700000001</v>
      </c>
    </row>
    <row r="267" spans="1:13" x14ac:dyDescent="0.25">
      <c r="A267" s="41">
        <v>202007</v>
      </c>
      <c r="B267" s="41">
        <v>45</v>
      </c>
      <c r="C267" s="42" t="s">
        <v>137</v>
      </c>
      <c r="D267" s="58">
        <v>87020517000120</v>
      </c>
      <c r="E267" s="46" t="b">
        <v>0</v>
      </c>
      <c r="F267" s="46" t="b">
        <v>0</v>
      </c>
      <c r="G267" s="46" t="b">
        <v>1</v>
      </c>
      <c r="H267" s="42" t="s">
        <v>94</v>
      </c>
      <c r="I267" s="42" t="s">
        <v>126</v>
      </c>
      <c r="J267" s="21">
        <v>214</v>
      </c>
      <c r="K267" s="21">
        <v>214</v>
      </c>
      <c r="L267" s="10">
        <v>17548</v>
      </c>
      <c r="M267" s="10">
        <v>17548</v>
      </c>
    </row>
    <row r="268" spans="1:13" x14ac:dyDescent="0.25">
      <c r="A268" s="41">
        <v>202007</v>
      </c>
      <c r="B268" s="41">
        <v>70</v>
      </c>
      <c r="C268" s="42" t="s">
        <v>139</v>
      </c>
      <c r="D268" s="58">
        <v>4995603000121</v>
      </c>
      <c r="E268" s="46" t="b">
        <v>0</v>
      </c>
      <c r="F268" s="46" t="b">
        <v>0</v>
      </c>
      <c r="G268" s="46" t="b">
        <v>1</v>
      </c>
      <c r="H268" s="42" t="s">
        <v>112</v>
      </c>
      <c r="I268" s="42" t="s">
        <v>113</v>
      </c>
      <c r="J268" s="21">
        <v>47</v>
      </c>
      <c r="K268" s="21">
        <v>235</v>
      </c>
      <c r="L268" s="10">
        <v>45992.79</v>
      </c>
      <c r="M268" s="10">
        <v>45992.79</v>
      </c>
    </row>
    <row r="269" spans="1:13" x14ac:dyDescent="0.25">
      <c r="A269" s="41">
        <v>202007</v>
      </c>
      <c r="B269" s="41">
        <v>66</v>
      </c>
      <c r="C269" s="42" t="s">
        <v>43</v>
      </c>
      <c r="D269" s="58">
        <v>88317000121</v>
      </c>
      <c r="E269" s="46" t="b">
        <v>0</v>
      </c>
      <c r="F269" s="46" t="b">
        <v>1</v>
      </c>
      <c r="G269" s="46" t="b">
        <v>1</v>
      </c>
      <c r="H269" s="42" t="s">
        <v>94</v>
      </c>
      <c r="I269" s="42" t="s">
        <v>126</v>
      </c>
      <c r="J269" s="21">
        <v>36</v>
      </c>
      <c r="K269" s="21">
        <v>36</v>
      </c>
      <c r="L269" s="10">
        <v>43304.68</v>
      </c>
      <c r="M269" s="10">
        <v>43304.68</v>
      </c>
    </row>
    <row r="270" spans="1:13" x14ac:dyDescent="0.25">
      <c r="A270" s="41">
        <v>202007</v>
      </c>
      <c r="B270" s="41">
        <v>62</v>
      </c>
      <c r="C270" s="42" t="s">
        <v>132</v>
      </c>
      <c r="D270" s="58">
        <v>61590410000124</v>
      </c>
      <c r="E270" s="46" t="b">
        <v>0</v>
      </c>
      <c r="F270" s="46" t="b">
        <v>0</v>
      </c>
      <c r="G270" s="46" t="b">
        <v>1</v>
      </c>
      <c r="H270" s="42" t="s">
        <v>112</v>
      </c>
      <c r="I270" s="42" t="s">
        <v>134</v>
      </c>
      <c r="J270" s="21">
        <v>5</v>
      </c>
      <c r="K270" s="21">
        <v>5</v>
      </c>
      <c r="L270" s="10">
        <v>6670.8</v>
      </c>
      <c r="M270" s="10">
        <v>6670.8</v>
      </c>
    </row>
    <row r="271" spans="1:13" x14ac:dyDescent="0.25">
      <c r="A271" s="41">
        <v>202007</v>
      </c>
      <c r="B271" s="41">
        <v>70</v>
      </c>
      <c r="C271" s="42" t="s">
        <v>139</v>
      </c>
      <c r="D271" s="58">
        <v>61590410000124</v>
      </c>
      <c r="E271" s="46" t="b">
        <v>0</v>
      </c>
      <c r="F271" s="46" t="b">
        <v>0</v>
      </c>
      <c r="G271" s="46" t="b">
        <v>1</v>
      </c>
      <c r="H271" s="42" t="s">
        <v>112</v>
      </c>
      <c r="I271" s="42" t="s">
        <v>134</v>
      </c>
      <c r="J271" s="21">
        <v>220</v>
      </c>
      <c r="K271" s="21">
        <v>1100</v>
      </c>
      <c r="L271" s="10">
        <v>225513.5</v>
      </c>
      <c r="M271" s="10">
        <v>225513.5</v>
      </c>
    </row>
    <row r="272" spans="1:13" x14ac:dyDescent="0.25">
      <c r="A272" s="41">
        <v>202007</v>
      </c>
      <c r="B272" s="41">
        <v>47</v>
      </c>
      <c r="C272" s="42" t="s">
        <v>111</v>
      </c>
      <c r="D272" s="58">
        <v>15145035000196</v>
      </c>
      <c r="E272" s="46" t="b">
        <v>0</v>
      </c>
      <c r="F272" s="46" t="b">
        <v>1</v>
      </c>
      <c r="G272" s="46" t="b">
        <v>1</v>
      </c>
      <c r="H272" s="42" t="s">
        <v>96</v>
      </c>
      <c r="I272" s="42" t="s">
        <v>130</v>
      </c>
      <c r="J272" s="21">
        <v>40</v>
      </c>
      <c r="K272" s="21">
        <v>40</v>
      </c>
      <c r="L272" s="10">
        <v>5984.77</v>
      </c>
      <c r="M272" s="10">
        <v>5984.77</v>
      </c>
    </row>
    <row r="273" spans="1:13" x14ac:dyDescent="0.25">
      <c r="A273" s="41">
        <v>202007</v>
      </c>
      <c r="B273" s="41">
        <v>64</v>
      </c>
      <c r="C273" s="42" t="s">
        <v>133</v>
      </c>
      <c r="D273" s="58">
        <v>81887838000736</v>
      </c>
      <c r="E273" s="46" t="b">
        <v>0</v>
      </c>
      <c r="F273" s="46" t="b">
        <v>1</v>
      </c>
      <c r="G273" s="46" t="b">
        <v>1</v>
      </c>
      <c r="H273" s="42" t="s">
        <v>112</v>
      </c>
      <c r="I273" s="42" t="s">
        <v>120</v>
      </c>
      <c r="J273" s="21">
        <v>217</v>
      </c>
      <c r="K273" s="21">
        <v>217</v>
      </c>
      <c r="L273" s="10">
        <v>150773.26</v>
      </c>
      <c r="M273" s="10">
        <v>150773.26</v>
      </c>
    </row>
    <row r="274" spans="1:13" x14ac:dyDescent="0.25">
      <c r="A274" s="41">
        <v>202007</v>
      </c>
      <c r="B274" s="41">
        <v>62</v>
      </c>
      <c r="C274" s="42" t="s">
        <v>132</v>
      </c>
      <c r="D274" s="58">
        <v>81887838000736</v>
      </c>
      <c r="E274" s="46" t="b">
        <v>0</v>
      </c>
      <c r="F274" s="46" t="b">
        <v>1</v>
      </c>
      <c r="G274" s="46" t="b">
        <v>1</v>
      </c>
      <c r="H274" s="42" t="s">
        <v>112</v>
      </c>
      <c r="I274" s="42" t="s">
        <v>120</v>
      </c>
      <c r="J274" s="21">
        <v>158</v>
      </c>
      <c r="K274" s="21">
        <v>158</v>
      </c>
      <c r="L274" s="10">
        <v>173924.3</v>
      </c>
      <c r="M274" s="10">
        <v>173924.3</v>
      </c>
    </row>
    <row r="275" spans="1:13" x14ac:dyDescent="0.25">
      <c r="A275" s="41">
        <v>202007</v>
      </c>
      <c r="B275" s="41">
        <v>73</v>
      </c>
      <c r="C275" s="42" t="s">
        <v>141</v>
      </c>
      <c r="D275" s="58">
        <v>81887838000736</v>
      </c>
      <c r="E275" s="46" t="b">
        <v>0</v>
      </c>
      <c r="F275" s="46" t="b">
        <v>1</v>
      </c>
      <c r="G275" s="46" t="b">
        <v>1</v>
      </c>
      <c r="H275" s="42" t="s">
        <v>112</v>
      </c>
      <c r="I275" s="42" t="s">
        <v>120</v>
      </c>
      <c r="J275" s="21">
        <v>10</v>
      </c>
      <c r="K275" s="21">
        <v>40</v>
      </c>
      <c r="L275" s="10">
        <v>8674.85</v>
      </c>
      <c r="M275" s="10">
        <v>8674.85</v>
      </c>
    </row>
    <row r="276" spans="1:13" x14ac:dyDescent="0.25">
      <c r="A276" s="41">
        <v>202007</v>
      </c>
      <c r="B276" s="41">
        <v>47</v>
      </c>
      <c r="C276" s="42" t="s">
        <v>111</v>
      </c>
      <c r="D276" s="58">
        <v>81887838000736</v>
      </c>
      <c r="E276" s="46" t="b">
        <v>0</v>
      </c>
      <c r="F276" s="46" t="b">
        <v>1</v>
      </c>
      <c r="G276" s="46" t="b">
        <v>1</v>
      </c>
      <c r="H276" s="42" t="s">
        <v>112</v>
      </c>
      <c r="I276" s="42" t="s">
        <v>120</v>
      </c>
      <c r="J276" s="21">
        <v>215</v>
      </c>
      <c r="K276" s="21">
        <v>215</v>
      </c>
      <c r="L276" s="10">
        <v>23927.83</v>
      </c>
      <c r="M276" s="10">
        <v>23927.83</v>
      </c>
    </row>
    <row r="277" spans="1:13" x14ac:dyDescent="0.25">
      <c r="A277" s="41">
        <v>202007</v>
      </c>
      <c r="B277" s="41">
        <v>56</v>
      </c>
      <c r="C277" s="42" t="s">
        <v>136</v>
      </c>
      <c r="D277" s="58">
        <v>81887838000736</v>
      </c>
      <c r="E277" s="46" t="b">
        <v>0</v>
      </c>
      <c r="F277" s="46" t="b">
        <v>1</v>
      </c>
      <c r="G277" s="46" t="b">
        <v>1</v>
      </c>
      <c r="H277" s="42" t="s">
        <v>112</v>
      </c>
      <c r="I277" s="42" t="s">
        <v>120</v>
      </c>
      <c r="J277" s="21">
        <v>129</v>
      </c>
      <c r="K277" s="21">
        <v>129</v>
      </c>
      <c r="L277" s="10">
        <v>4049.93</v>
      </c>
      <c r="M277" s="10">
        <v>4049.93</v>
      </c>
    </row>
    <row r="278" spans="1:13" x14ac:dyDescent="0.25">
      <c r="A278" s="41">
        <v>202007</v>
      </c>
      <c r="B278" s="41">
        <v>73</v>
      </c>
      <c r="C278" s="42" t="s">
        <v>135</v>
      </c>
      <c r="D278" s="58">
        <v>9660958000345</v>
      </c>
      <c r="E278" s="46" t="b">
        <v>0</v>
      </c>
      <c r="F278" s="46" t="b">
        <v>1</v>
      </c>
      <c r="G278" s="46" t="b">
        <v>1</v>
      </c>
      <c r="H278" s="42" t="s">
        <v>94</v>
      </c>
      <c r="I278" s="42" t="s">
        <v>127</v>
      </c>
      <c r="J278" s="21">
        <v>20</v>
      </c>
      <c r="K278" s="21">
        <v>20</v>
      </c>
      <c r="L278" s="10">
        <v>4646.22</v>
      </c>
      <c r="M278" s="10">
        <v>4646.22</v>
      </c>
    </row>
    <row r="279" spans="1:13" x14ac:dyDescent="0.25">
      <c r="A279" s="41">
        <v>202007</v>
      </c>
      <c r="B279" s="41">
        <v>73</v>
      </c>
      <c r="C279" s="42" t="s">
        <v>138</v>
      </c>
      <c r="D279" s="58">
        <v>9660958000345</v>
      </c>
      <c r="E279" s="46" t="b">
        <v>0</v>
      </c>
      <c r="F279" s="46" t="b">
        <v>1</v>
      </c>
      <c r="G279" s="46" t="b">
        <v>1</v>
      </c>
      <c r="H279" s="42" t="s">
        <v>94</v>
      </c>
      <c r="I279" s="42" t="s">
        <v>127</v>
      </c>
      <c r="J279" s="21">
        <v>1</v>
      </c>
      <c r="K279" s="21">
        <v>2</v>
      </c>
      <c r="L279" s="10">
        <v>464.64</v>
      </c>
      <c r="M279" s="10">
        <v>464.64</v>
      </c>
    </row>
    <row r="280" spans="1:13" x14ac:dyDescent="0.25">
      <c r="A280" s="41">
        <v>202007</v>
      </c>
      <c r="B280" s="41">
        <v>56</v>
      </c>
      <c r="C280" s="42" t="s">
        <v>136</v>
      </c>
      <c r="D280" s="58">
        <v>9660958000345</v>
      </c>
      <c r="E280" s="46" t="b">
        <v>0</v>
      </c>
      <c r="F280" s="46" t="b">
        <v>1</v>
      </c>
      <c r="G280" s="46" t="b">
        <v>1</v>
      </c>
      <c r="H280" s="42" t="s">
        <v>94</v>
      </c>
      <c r="I280" s="42" t="s">
        <v>127</v>
      </c>
      <c r="J280" s="21">
        <v>20</v>
      </c>
      <c r="K280" s="21">
        <v>20</v>
      </c>
      <c r="L280" s="10">
        <v>753.44</v>
      </c>
      <c r="M280" s="10">
        <v>753.44</v>
      </c>
    </row>
    <row r="281" spans="1:13" x14ac:dyDescent="0.25">
      <c r="A281" s="41">
        <v>202007</v>
      </c>
      <c r="B281" s="41">
        <v>47</v>
      </c>
      <c r="C281" s="42" t="s">
        <v>111</v>
      </c>
      <c r="D281" s="58">
        <v>9660958000345</v>
      </c>
      <c r="E281" s="46" t="b">
        <v>0</v>
      </c>
      <c r="F281" s="46" t="b">
        <v>1</v>
      </c>
      <c r="G281" s="46" t="b">
        <v>1</v>
      </c>
      <c r="H281" s="42" t="s">
        <v>94</v>
      </c>
      <c r="I281" s="42" t="s">
        <v>127</v>
      </c>
      <c r="J281" s="21">
        <v>1000</v>
      </c>
      <c r="K281" s="21">
        <v>1000</v>
      </c>
      <c r="L281" s="10">
        <v>149019.67000000001</v>
      </c>
      <c r="M281" s="10">
        <v>149019.67000000001</v>
      </c>
    </row>
    <row r="282" spans="1:13" x14ac:dyDescent="0.25">
      <c r="A282" s="41">
        <v>202007</v>
      </c>
      <c r="B282" s="41">
        <v>70</v>
      </c>
      <c r="C282" s="42" t="s">
        <v>140</v>
      </c>
      <c r="D282" s="58">
        <v>17700763000300</v>
      </c>
      <c r="E282" s="46" t="b">
        <v>0</v>
      </c>
      <c r="F282" s="46" t="b">
        <v>1</v>
      </c>
      <c r="G282" s="46" t="b">
        <v>1</v>
      </c>
      <c r="H282" s="42" t="s">
        <v>94</v>
      </c>
      <c r="I282" s="42" t="s">
        <v>100</v>
      </c>
      <c r="J282" s="21">
        <v>200</v>
      </c>
      <c r="K282" s="21">
        <v>2000</v>
      </c>
      <c r="L282" s="10">
        <v>426401.73</v>
      </c>
      <c r="M282" s="10">
        <v>426401.73</v>
      </c>
    </row>
    <row r="283" spans="1:13" x14ac:dyDescent="0.25">
      <c r="A283" s="41">
        <v>202007</v>
      </c>
      <c r="B283" s="41">
        <v>70</v>
      </c>
      <c r="C283" s="42" t="s">
        <v>139</v>
      </c>
      <c r="D283" s="58">
        <v>4995603000121</v>
      </c>
      <c r="E283" s="46" t="b">
        <v>0</v>
      </c>
      <c r="F283" s="46" t="b">
        <v>0</v>
      </c>
      <c r="G283" s="46" t="b">
        <v>1</v>
      </c>
      <c r="H283" s="42" t="s">
        <v>112</v>
      </c>
      <c r="I283" s="42" t="s">
        <v>113</v>
      </c>
      <c r="J283" s="21">
        <v>32</v>
      </c>
      <c r="K283" s="21">
        <v>160</v>
      </c>
      <c r="L283" s="10">
        <v>31314.240000000002</v>
      </c>
      <c r="M283" s="10">
        <v>31314.240000000002</v>
      </c>
    </row>
    <row r="284" spans="1:13" x14ac:dyDescent="0.25">
      <c r="A284" s="41">
        <v>202007</v>
      </c>
      <c r="B284" s="41">
        <v>70</v>
      </c>
      <c r="C284" s="42" t="s">
        <v>139</v>
      </c>
      <c r="D284" s="58">
        <v>4995603000121</v>
      </c>
      <c r="E284" s="46" t="b">
        <v>0</v>
      </c>
      <c r="F284" s="46" t="b">
        <v>0</v>
      </c>
      <c r="G284" s="46" t="b">
        <v>1</v>
      </c>
      <c r="H284" s="42" t="s">
        <v>112</v>
      </c>
      <c r="I284" s="42" t="s">
        <v>113</v>
      </c>
      <c r="J284" s="21">
        <v>11</v>
      </c>
      <c r="K284" s="21">
        <v>55</v>
      </c>
      <c r="L284" s="10">
        <v>10764.27</v>
      </c>
      <c r="M284" s="10">
        <v>10764.27</v>
      </c>
    </row>
    <row r="285" spans="1:13" x14ac:dyDescent="0.25">
      <c r="A285" s="41">
        <v>202007</v>
      </c>
      <c r="B285" s="41">
        <v>70</v>
      </c>
      <c r="C285" s="42" t="s">
        <v>139</v>
      </c>
      <c r="D285" s="58">
        <v>61590410000124</v>
      </c>
      <c r="E285" s="46" t="b">
        <v>0</v>
      </c>
      <c r="F285" s="46" t="b">
        <v>0</v>
      </c>
      <c r="G285" s="46" t="b">
        <v>1</v>
      </c>
      <c r="H285" s="42" t="s">
        <v>112</v>
      </c>
      <c r="I285" s="42" t="s">
        <v>134</v>
      </c>
      <c r="J285" s="21">
        <v>140</v>
      </c>
      <c r="K285" s="21">
        <v>700</v>
      </c>
      <c r="L285" s="10">
        <v>143508.59</v>
      </c>
      <c r="M285" s="10">
        <v>143508.59</v>
      </c>
    </row>
    <row r="286" spans="1:13" x14ac:dyDescent="0.25">
      <c r="A286" s="41">
        <v>202007</v>
      </c>
      <c r="B286" s="41">
        <v>45</v>
      </c>
      <c r="C286" s="42" t="s">
        <v>137</v>
      </c>
      <c r="D286" s="58">
        <v>4355394000151</v>
      </c>
      <c r="E286" s="46" t="b">
        <v>0</v>
      </c>
      <c r="F286" s="46" t="b">
        <v>1</v>
      </c>
      <c r="G286" s="46" t="b">
        <v>1</v>
      </c>
      <c r="H286" s="42" t="s">
        <v>94</v>
      </c>
      <c r="I286" s="42" t="s">
        <v>128</v>
      </c>
      <c r="J286" s="21">
        <v>1000</v>
      </c>
      <c r="K286" s="21">
        <v>1000</v>
      </c>
      <c r="L286" s="10">
        <v>86104.66</v>
      </c>
      <c r="M286" s="10">
        <v>86104.66</v>
      </c>
    </row>
    <row r="287" spans="1:13" x14ac:dyDescent="0.25">
      <c r="A287" s="41">
        <v>202007</v>
      </c>
      <c r="B287" s="41">
        <v>47</v>
      </c>
      <c r="C287" s="42" t="s">
        <v>111</v>
      </c>
      <c r="D287" s="58">
        <v>4355394000151</v>
      </c>
      <c r="E287" s="46" t="b">
        <v>0</v>
      </c>
      <c r="F287" s="46" t="b">
        <v>1</v>
      </c>
      <c r="G287" s="46" t="b">
        <v>1</v>
      </c>
      <c r="H287" s="42" t="s">
        <v>94</v>
      </c>
      <c r="I287" s="42" t="s">
        <v>128</v>
      </c>
      <c r="J287" s="21">
        <v>200</v>
      </c>
      <c r="K287" s="21">
        <v>200</v>
      </c>
      <c r="L287" s="10">
        <v>29925.98</v>
      </c>
      <c r="M287" s="10">
        <v>29925.98</v>
      </c>
    </row>
    <row r="288" spans="1:13" x14ac:dyDescent="0.25">
      <c r="A288" s="41">
        <v>202007</v>
      </c>
      <c r="B288" s="41">
        <v>73</v>
      </c>
      <c r="C288" s="42" t="s">
        <v>141</v>
      </c>
      <c r="D288" s="58">
        <v>4355394000151</v>
      </c>
      <c r="E288" s="46" t="b">
        <v>0</v>
      </c>
      <c r="F288" s="46" t="b">
        <v>1</v>
      </c>
      <c r="G288" s="46" t="b">
        <v>1</v>
      </c>
      <c r="H288" s="42" t="s">
        <v>94</v>
      </c>
      <c r="I288" s="42" t="s">
        <v>128</v>
      </c>
      <c r="J288" s="21">
        <v>20</v>
      </c>
      <c r="K288" s="21">
        <v>80</v>
      </c>
      <c r="L288" s="10">
        <v>17594.39</v>
      </c>
      <c r="M288" s="10">
        <v>17594.39</v>
      </c>
    </row>
    <row r="289" spans="1:13" x14ac:dyDescent="0.25">
      <c r="A289" s="41">
        <v>202007</v>
      </c>
      <c r="B289" s="41">
        <v>45</v>
      </c>
      <c r="C289" s="42" t="s">
        <v>137</v>
      </c>
      <c r="D289" s="58">
        <v>4355394000151</v>
      </c>
      <c r="E289" s="46" t="b">
        <v>0</v>
      </c>
      <c r="F289" s="46" t="b">
        <v>1</v>
      </c>
      <c r="G289" s="46" t="b">
        <v>1</v>
      </c>
      <c r="H289" s="42" t="s">
        <v>94</v>
      </c>
      <c r="I289" s="42" t="s">
        <v>128</v>
      </c>
      <c r="J289" s="21">
        <v>1000</v>
      </c>
      <c r="K289" s="21">
        <v>1000</v>
      </c>
      <c r="L289" s="10">
        <v>86104.66</v>
      </c>
      <c r="M289" s="10">
        <v>86104.66</v>
      </c>
    </row>
    <row r="290" spans="1:13" x14ac:dyDescent="0.25">
      <c r="A290" s="41">
        <v>202007</v>
      </c>
      <c r="B290" s="41">
        <v>47</v>
      </c>
      <c r="C290" s="42" t="s">
        <v>111</v>
      </c>
      <c r="D290" s="58">
        <v>4355394000151</v>
      </c>
      <c r="E290" s="46" t="b">
        <v>0</v>
      </c>
      <c r="F290" s="46" t="b">
        <v>1</v>
      </c>
      <c r="G290" s="46" t="b">
        <v>1</v>
      </c>
      <c r="H290" s="42" t="s">
        <v>94</v>
      </c>
      <c r="I290" s="42" t="s">
        <v>128</v>
      </c>
      <c r="J290" s="21">
        <v>200</v>
      </c>
      <c r="K290" s="21">
        <v>200</v>
      </c>
      <c r="L290" s="10">
        <v>29925.98</v>
      </c>
      <c r="M290" s="10">
        <v>29925.98</v>
      </c>
    </row>
    <row r="291" spans="1:13" x14ac:dyDescent="0.25">
      <c r="A291" s="41">
        <v>202007</v>
      </c>
      <c r="B291" s="41">
        <v>73</v>
      </c>
      <c r="C291" s="42" t="s">
        <v>138</v>
      </c>
      <c r="D291" s="58">
        <v>4355394000151</v>
      </c>
      <c r="E291" s="46" t="b">
        <v>0</v>
      </c>
      <c r="F291" s="46" t="b">
        <v>1</v>
      </c>
      <c r="G291" s="46" t="b">
        <v>1</v>
      </c>
      <c r="H291" s="42" t="s">
        <v>94</v>
      </c>
      <c r="I291" s="42" t="s">
        <v>128</v>
      </c>
      <c r="J291" s="21">
        <v>30</v>
      </c>
      <c r="K291" s="21">
        <v>60</v>
      </c>
      <c r="L291" s="10">
        <v>13196.02</v>
      </c>
      <c r="M291" s="10">
        <v>13196.02</v>
      </c>
    </row>
    <row r="292" spans="1:13" x14ac:dyDescent="0.25">
      <c r="A292" s="41">
        <v>202007</v>
      </c>
      <c r="B292" s="41">
        <v>66</v>
      </c>
      <c r="C292" s="42" t="s">
        <v>43</v>
      </c>
      <c r="D292" s="58">
        <v>4355394000151</v>
      </c>
      <c r="E292" s="46" t="b">
        <v>0</v>
      </c>
      <c r="F292" s="46" t="b">
        <v>1</v>
      </c>
      <c r="G292" s="46" t="b">
        <v>1</v>
      </c>
      <c r="H292" s="42" t="s">
        <v>94</v>
      </c>
      <c r="I292" s="42" t="s">
        <v>128</v>
      </c>
      <c r="J292" s="21">
        <v>232</v>
      </c>
      <c r="K292" s="21">
        <v>232</v>
      </c>
      <c r="L292" s="10">
        <v>271098.06</v>
      </c>
      <c r="M292" s="10">
        <v>271098.06</v>
      </c>
    </row>
    <row r="293" spans="1:13" x14ac:dyDescent="0.25">
      <c r="A293" s="41">
        <v>202007</v>
      </c>
      <c r="B293" s="41">
        <v>45</v>
      </c>
      <c r="C293" s="42" t="s">
        <v>137</v>
      </c>
      <c r="D293" s="58">
        <v>60003761000129</v>
      </c>
      <c r="E293" s="46" t="b">
        <v>0</v>
      </c>
      <c r="F293" s="46" t="b">
        <v>0</v>
      </c>
      <c r="G293" s="46" t="b">
        <v>1</v>
      </c>
      <c r="H293" s="42" t="s">
        <v>112</v>
      </c>
      <c r="I293" s="42" t="s">
        <v>115</v>
      </c>
      <c r="J293" s="21">
        <v>250</v>
      </c>
      <c r="K293" s="21">
        <v>250</v>
      </c>
      <c r="L293" s="10">
        <v>20500</v>
      </c>
      <c r="M293" s="10">
        <v>20500</v>
      </c>
    </row>
    <row r="294" spans="1:13" x14ac:dyDescent="0.25">
      <c r="A294" s="41">
        <v>202007</v>
      </c>
      <c r="B294" s="41">
        <v>64</v>
      </c>
      <c r="C294" s="42" t="s">
        <v>133</v>
      </c>
      <c r="D294" s="58">
        <v>60003761000129</v>
      </c>
      <c r="E294" s="46" t="b">
        <v>0</v>
      </c>
      <c r="F294" s="46" t="b">
        <v>0</v>
      </c>
      <c r="G294" s="46" t="b">
        <v>1</v>
      </c>
      <c r="H294" s="42" t="s">
        <v>112</v>
      </c>
      <c r="I294" s="42" t="s">
        <v>115</v>
      </c>
      <c r="J294" s="21">
        <v>25</v>
      </c>
      <c r="K294" s="21">
        <v>25</v>
      </c>
      <c r="L294" s="10">
        <v>20233.5</v>
      </c>
      <c r="M294" s="10">
        <v>20233.5</v>
      </c>
    </row>
    <row r="295" spans="1:13" x14ac:dyDescent="0.25">
      <c r="A295" s="41">
        <v>202007</v>
      </c>
      <c r="B295" s="41">
        <v>62</v>
      </c>
      <c r="C295" s="42" t="s">
        <v>132</v>
      </c>
      <c r="D295" s="58">
        <v>60003761000129</v>
      </c>
      <c r="E295" s="46" t="b">
        <v>0</v>
      </c>
      <c r="F295" s="46" t="b">
        <v>0</v>
      </c>
      <c r="G295" s="46" t="b">
        <v>1</v>
      </c>
      <c r="H295" s="42" t="s">
        <v>112</v>
      </c>
      <c r="I295" s="42" t="s">
        <v>115</v>
      </c>
      <c r="J295" s="21">
        <v>3</v>
      </c>
      <c r="K295" s="21">
        <v>3</v>
      </c>
      <c r="L295" s="10">
        <v>3488.28</v>
      </c>
      <c r="M295" s="10">
        <v>3488.28</v>
      </c>
    </row>
    <row r="296" spans="1:13" x14ac:dyDescent="0.25">
      <c r="A296" s="41">
        <v>202007</v>
      </c>
      <c r="B296" s="41">
        <v>67</v>
      </c>
      <c r="C296" s="42" t="s">
        <v>240</v>
      </c>
      <c r="D296" s="58">
        <v>60003761000129</v>
      </c>
      <c r="E296" s="46" t="b">
        <v>0</v>
      </c>
      <c r="F296" s="46" t="b">
        <v>0</v>
      </c>
      <c r="G296" s="46" t="b">
        <v>1</v>
      </c>
      <c r="H296" s="42" t="s">
        <v>112</v>
      </c>
      <c r="I296" s="42" t="s">
        <v>115</v>
      </c>
      <c r="J296" s="21">
        <v>250</v>
      </c>
      <c r="K296" s="21">
        <v>250</v>
      </c>
      <c r="L296" s="10">
        <v>-55.44</v>
      </c>
      <c r="M296" s="10">
        <v>-55.44</v>
      </c>
    </row>
    <row r="297" spans="1:13" x14ac:dyDescent="0.25">
      <c r="A297" s="41">
        <v>202007</v>
      </c>
      <c r="B297" s="41">
        <v>60</v>
      </c>
      <c r="C297" s="42" t="s">
        <v>149</v>
      </c>
      <c r="D297" s="58">
        <v>31378288000166</v>
      </c>
      <c r="E297" s="46" t="b">
        <v>0</v>
      </c>
      <c r="F297" s="46" t="b">
        <v>1</v>
      </c>
      <c r="G297" s="46" t="b">
        <v>1</v>
      </c>
      <c r="H297" s="42" t="s">
        <v>112</v>
      </c>
      <c r="I297" s="42" t="s">
        <v>115</v>
      </c>
      <c r="J297" s="21">
        <v>20</v>
      </c>
      <c r="K297" s="21">
        <v>20</v>
      </c>
      <c r="L297" s="10">
        <v>15753.99</v>
      </c>
      <c r="M297" s="10">
        <v>15753.99</v>
      </c>
    </row>
    <row r="298" spans="1:13" x14ac:dyDescent="0.25">
      <c r="A298" s="41">
        <v>202007</v>
      </c>
      <c r="B298" s="41">
        <v>47</v>
      </c>
      <c r="C298" s="42" t="s">
        <v>111</v>
      </c>
      <c r="D298" s="58">
        <v>31378288000166</v>
      </c>
      <c r="E298" s="46" t="b">
        <v>0</v>
      </c>
      <c r="F298" s="46" t="b">
        <v>1</v>
      </c>
      <c r="G298" s="46" t="b">
        <v>1</v>
      </c>
      <c r="H298" s="42" t="s">
        <v>112</v>
      </c>
      <c r="I298" s="42" t="s">
        <v>115</v>
      </c>
      <c r="J298" s="21">
        <v>1800</v>
      </c>
      <c r="K298" s="21">
        <v>1800</v>
      </c>
      <c r="L298" s="10">
        <v>278044.45</v>
      </c>
      <c r="M298" s="10">
        <v>278044.45</v>
      </c>
    </row>
    <row r="299" spans="1:13" x14ac:dyDescent="0.25">
      <c r="A299" s="41">
        <v>202007</v>
      </c>
      <c r="B299" s="41">
        <v>47</v>
      </c>
      <c r="C299" s="42" t="s">
        <v>111</v>
      </c>
      <c r="D299" s="58">
        <v>7484373000124</v>
      </c>
      <c r="E299" s="46" t="b">
        <v>0</v>
      </c>
      <c r="F299" s="46" t="b">
        <v>1</v>
      </c>
      <c r="G299" s="46" t="b">
        <v>1</v>
      </c>
      <c r="H299" s="42" t="s">
        <v>96</v>
      </c>
      <c r="I299" s="42" t="s">
        <v>129</v>
      </c>
      <c r="J299" s="21">
        <v>201</v>
      </c>
      <c r="K299" s="21">
        <v>201</v>
      </c>
      <c r="L299" s="10">
        <v>27396</v>
      </c>
      <c r="M299" s="10">
        <v>27396</v>
      </c>
    </row>
    <row r="300" spans="1:13" x14ac:dyDescent="0.25">
      <c r="A300" s="41">
        <v>202007</v>
      </c>
      <c r="B300" s="41">
        <v>47</v>
      </c>
      <c r="C300" s="42" t="s">
        <v>111</v>
      </c>
      <c r="D300" s="58">
        <v>7484373000124</v>
      </c>
      <c r="E300" s="46" t="b">
        <v>0</v>
      </c>
      <c r="F300" s="46" t="b">
        <v>1</v>
      </c>
      <c r="G300" s="46" t="b">
        <v>1</v>
      </c>
      <c r="H300" s="42" t="s">
        <v>96</v>
      </c>
      <c r="I300" s="42" t="s">
        <v>129</v>
      </c>
      <c r="J300" s="21">
        <v>499</v>
      </c>
      <c r="K300" s="21">
        <v>499</v>
      </c>
      <c r="L300" s="10">
        <v>68012.94</v>
      </c>
      <c r="M300" s="10">
        <v>68012.94</v>
      </c>
    </row>
    <row r="301" spans="1:13" x14ac:dyDescent="0.25">
      <c r="A301" s="41">
        <v>202007</v>
      </c>
      <c r="B301" s="41">
        <v>45</v>
      </c>
      <c r="C301" s="42" t="s">
        <v>137</v>
      </c>
      <c r="D301" s="58">
        <v>20001049000176</v>
      </c>
      <c r="E301" s="46" t="b">
        <v>0</v>
      </c>
      <c r="F301" s="46" t="b">
        <v>1</v>
      </c>
      <c r="G301" s="46" t="b">
        <v>1</v>
      </c>
      <c r="H301" s="42" t="s">
        <v>96</v>
      </c>
      <c r="I301" s="42" t="s">
        <v>130</v>
      </c>
      <c r="J301" s="21">
        <v>40</v>
      </c>
      <c r="K301" s="21">
        <v>40</v>
      </c>
      <c r="L301" s="10">
        <v>3607.68</v>
      </c>
      <c r="M301" s="10">
        <v>3607.68</v>
      </c>
    </row>
    <row r="302" spans="1:13" x14ac:dyDescent="0.25">
      <c r="A302" s="41">
        <v>202007</v>
      </c>
      <c r="B302" s="41">
        <v>47</v>
      </c>
      <c r="C302" s="42" t="s">
        <v>111</v>
      </c>
      <c r="D302" s="58">
        <v>20001049000176</v>
      </c>
      <c r="E302" s="46" t="b">
        <v>0</v>
      </c>
      <c r="F302" s="46" t="b">
        <v>1</v>
      </c>
      <c r="G302" s="46" t="b">
        <v>1</v>
      </c>
      <c r="H302" s="42" t="s">
        <v>96</v>
      </c>
      <c r="I302" s="42" t="s">
        <v>130</v>
      </c>
      <c r="J302" s="21">
        <v>100</v>
      </c>
      <c r="K302" s="21">
        <v>100</v>
      </c>
      <c r="L302" s="10">
        <v>14961.94</v>
      </c>
      <c r="M302" s="10">
        <v>14961.94</v>
      </c>
    </row>
    <row r="303" spans="1:13" x14ac:dyDescent="0.25">
      <c r="A303" s="41">
        <v>202007</v>
      </c>
      <c r="B303" s="41">
        <v>73</v>
      </c>
      <c r="C303" s="42" t="s">
        <v>135</v>
      </c>
      <c r="D303" s="58">
        <v>18269125000187</v>
      </c>
      <c r="E303" s="46" t="b">
        <v>0</v>
      </c>
      <c r="F303" s="46" t="b">
        <v>1</v>
      </c>
      <c r="G303" s="46" t="b">
        <v>1</v>
      </c>
      <c r="H303" s="42" t="s">
        <v>94</v>
      </c>
      <c r="I303" s="42" t="s">
        <v>95</v>
      </c>
      <c r="J303" s="21">
        <v>50</v>
      </c>
      <c r="K303" s="21">
        <v>50</v>
      </c>
      <c r="L303" s="10">
        <v>11615.61</v>
      </c>
      <c r="M303" s="10">
        <v>11615.61</v>
      </c>
    </row>
    <row r="304" spans="1:13" x14ac:dyDescent="0.25">
      <c r="A304" s="41">
        <v>202007</v>
      </c>
      <c r="B304" s="41">
        <v>70</v>
      </c>
      <c r="C304" s="42" t="s">
        <v>139</v>
      </c>
      <c r="D304" s="58">
        <v>46374500001670</v>
      </c>
      <c r="E304" s="46" t="b">
        <v>0</v>
      </c>
      <c r="F304" s="46" t="b">
        <v>0</v>
      </c>
      <c r="G304" s="46" t="b">
        <v>1</v>
      </c>
      <c r="H304" s="42" t="s">
        <v>112</v>
      </c>
      <c r="I304" s="42" t="s">
        <v>120</v>
      </c>
      <c r="J304" s="21">
        <v>40</v>
      </c>
      <c r="K304" s="21">
        <v>200</v>
      </c>
      <c r="L304" s="10">
        <v>36400</v>
      </c>
      <c r="M304" s="10">
        <v>36400</v>
      </c>
    </row>
    <row r="305" spans="1:13" x14ac:dyDescent="0.25">
      <c r="A305" s="41">
        <v>202007</v>
      </c>
      <c r="B305" s="41">
        <v>45</v>
      </c>
      <c r="C305" s="42" t="s">
        <v>137</v>
      </c>
      <c r="D305" s="58">
        <v>46374500001670</v>
      </c>
      <c r="E305" s="46" t="b">
        <v>0</v>
      </c>
      <c r="F305" s="46" t="b">
        <v>0</v>
      </c>
      <c r="G305" s="46" t="b">
        <v>1</v>
      </c>
      <c r="H305" s="42" t="s">
        <v>112</v>
      </c>
      <c r="I305" s="42" t="s">
        <v>120</v>
      </c>
      <c r="J305" s="21">
        <v>800</v>
      </c>
      <c r="K305" s="21">
        <v>800</v>
      </c>
      <c r="L305" s="10">
        <v>70800</v>
      </c>
      <c r="M305" s="10">
        <v>70800</v>
      </c>
    </row>
    <row r="306" spans="1:13" x14ac:dyDescent="0.25">
      <c r="A306" s="41">
        <v>202007</v>
      </c>
      <c r="B306" s="41">
        <v>47</v>
      </c>
      <c r="C306" s="42" t="s">
        <v>111</v>
      </c>
      <c r="D306" s="58">
        <v>7484373000124</v>
      </c>
      <c r="E306" s="46" t="b">
        <v>0</v>
      </c>
      <c r="F306" s="46" t="b">
        <v>1</v>
      </c>
      <c r="G306" s="46" t="b">
        <v>1</v>
      </c>
      <c r="H306" s="42" t="s">
        <v>96</v>
      </c>
      <c r="I306" s="42" t="s">
        <v>129</v>
      </c>
      <c r="J306" s="21">
        <v>800</v>
      </c>
      <c r="K306" s="21">
        <v>800</v>
      </c>
      <c r="L306" s="10">
        <v>109038.78</v>
      </c>
      <c r="M306" s="10">
        <v>109038.78</v>
      </c>
    </row>
    <row r="307" spans="1:13" x14ac:dyDescent="0.25">
      <c r="A307" s="41">
        <v>202007</v>
      </c>
      <c r="B307" s="41">
        <v>62</v>
      </c>
      <c r="C307" s="42" t="s">
        <v>132</v>
      </c>
      <c r="D307" s="58">
        <v>18269125000187</v>
      </c>
      <c r="E307" s="46" t="b">
        <v>0</v>
      </c>
      <c r="F307" s="46" t="b">
        <v>1</v>
      </c>
      <c r="G307" s="46" t="b">
        <v>1</v>
      </c>
      <c r="H307" s="42" t="s">
        <v>94</v>
      </c>
      <c r="I307" s="42" t="s">
        <v>95</v>
      </c>
      <c r="J307" s="21">
        <v>10</v>
      </c>
      <c r="K307" s="21">
        <v>10</v>
      </c>
      <c r="L307" s="10">
        <v>12767.07</v>
      </c>
      <c r="M307" s="10">
        <v>12767.07</v>
      </c>
    </row>
    <row r="308" spans="1:13" x14ac:dyDescent="0.25">
      <c r="A308" s="41">
        <v>202007</v>
      </c>
      <c r="B308" s="41">
        <v>70</v>
      </c>
      <c r="C308" s="42" t="s">
        <v>139</v>
      </c>
      <c r="D308" s="58">
        <v>46374500001670</v>
      </c>
      <c r="E308" s="46" t="b">
        <v>0</v>
      </c>
      <c r="F308" s="46" t="b">
        <v>0</v>
      </c>
      <c r="G308" s="46" t="b">
        <v>1</v>
      </c>
      <c r="H308" s="42" t="s">
        <v>112</v>
      </c>
      <c r="I308" s="42" t="s">
        <v>120</v>
      </c>
      <c r="J308" s="21">
        <v>14</v>
      </c>
      <c r="K308" s="21">
        <v>70</v>
      </c>
      <c r="L308" s="10">
        <v>12740</v>
      </c>
      <c r="M308" s="10">
        <v>12740</v>
      </c>
    </row>
    <row r="309" spans="1:13" x14ac:dyDescent="0.25">
      <c r="A309" s="41">
        <v>202007</v>
      </c>
      <c r="B309" s="41">
        <v>70</v>
      </c>
      <c r="C309" s="42" t="s">
        <v>139</v>
      </c>
      <c r="D309" s="58">
        <v>46374500000860</v>
      </c>
      <c r="E309" s="46" t="b">
        <v>0</v>
      </c>
      <c r="F309" s="46" t="b">
        <v>0</v>
      </c>
      <c r="G309" s="46" t="b">
        <v>1</v>
      </c>
      <c r="H309" s="42" t="s">
        <v>112</v>
      </c>
      <c r="I309" s="42" t="s">
        <v>134</v>
      </c>
      <c r="J309" s="21">
        <v>32</v>
      </c>
      <c r="K309" s="21">
        <v>160</v>
      </c>
      <c r="L309" s="10">
        <v>29120</v>
      </c>
      <c r="M309" s="10">
        <v>29120</v>
      </c>
    </row>
    <row r="310" spans="1:13" x14ac:dyDescent="0.25">
      <c r="A310" s="41">
        <v>202007</v>
      </c>
      <c r="B310" s="41">
        <v>45</v>
      </c>
      <c r="C310" s="42" t="s">
        <v>137</v>
      </c>
      <c r="D310" s="58">
        <v>24082016000159</v>
      </c>
      <c r="E310" s="46" t="b">
        <v>0</v>
      </c>
      <c r="F310" s="46" t="b">
        <v>0</v>
      </c>
      <c r="G310" s="46" t="b">
        <v>1</v>
      </c>
      <c r="H310" s="42" t="s">
        <v>112</v>
      </c>
      <c r="I310" s="42" t="s">
        <v>115</v>
      </c>
      <c r="J310" s="21">
        <v>100</v>
      </c>
      <c r="K310" s="21">
        <v>100</v>
      </c>
      <c r="L310" s="10">
        <v>9700</v>
      </c>
      <c r="M310" s="10">
        <v>9700</v>
      </c>
    </row>
    <row r="311" spans="1:13" x14ac:dyDescent="0.25">
      <c r="A311" s="41">
        <v>202007</v>
      </c>
      <c r="B311" s="41">
        <v>70</v>
      </c>
      <c r="C311" s="42" t="s">
        <v>139</v>
      </c>
      <c r="D311" s="58">
        <v>16695025000197</v>
      </c>
      <c r="E311" s="46" t="b">
        <v>0</v>
      </c>
      <c r="F311" s="46" t="b">
        <v>0</v>
      </c>
      <c r="G311" s="46" t="b">
        <v>1</v>
      </c>
      <c r="H311" s="42" t="s">
        <v>94</v>
      </c>
      <c r="I311" s="42" t="s">
        <v>95</v>
      </c>
      <c r="J311" s="21">
        <v>100</v>
      </c>
      <c r="K311" s="21">
        <v>500</v>
      </c>
      <c r="L311" s="10">
        <v>99500</v>
      </c>
      <c r="M311" s="10">
        <v>99500</v>
      </c>
    </row>
    <row r="312" spans="1:13" x14ac:dyDescent="0.25">
      <c r="A312" s="41">
        <v>202007</v>
      </c>
      <c r="B312" s="41">
        <v>64</v>
      </c>
      <c r="C312" s="42" t="s">
        <v>133</v>
      </c>
      <c r="D312" s="58">
        <v>61590410000124</v>
      </c>
      <c r="E312" s="46" t="b">
        <v>0</v>
      </c>
      <c r="F312" s="46" t="b">
        <v>0</v>
      </c>
      <c r="G312" s="46" t="b">
        <v>1</v>
      </c>
      <c r="H312" s="42" t="s">
        <v>112</v>
      </c>
      <c r="I312" s="42" t="s">
        <v>134</v>
      </c>
      <c r="J312" s="21">
        <v>8</v>
      </c>
      <c r="K312" s="21">
        <v>8</v>
      </c>
      <c r="L312" s="10">
        <v>6953.58</v>
      </c>
      <c r="M312" s="10">
        <v>6953.58</v>
      </c>
    </row>
    <row r="313" spans="1:13" x14ac:dyDescent="0.25">
      <c r="A313" s="41">
        <v>202007</v>
      </c>
      <c r="B313" s="41">
        <v>64</v>
      </c>
      <c r="C313" s="42" t="s">
        <v>133</v>
      </c>
      <c r="D313" s="58">
        <v>61590410000124</v>
      </c>
      <c r="E313" s="46" t="b">
        <v>0</v>
      </c>
      <c r="F313" s="46" t="b">
        <v>0</v>
      </c>
      <c r="G313" s="46" t="b">
        <v>1</v>
      </c>
      <c r="H313" s="42" t="s">
        <v>112</v>
      </c>
      <c r="I313" s="42" t="s">
        <v>134</v>
      </c>
      <c r="J313" s="21">
        <v>5</v>
      </c>
      <c r="K313" s="21">
        <v>5</v>
      </c>
      <c r="L313" s="10">
        <v>4345.99</v>
      </c>
      <c r="M313" s="10">
        <v>4345.99</v>
      </c>
    </row>
    <row r="314" spans="1:13" x14ac:dyDescent="0.25">
      <c r="A314" s="41">
        <v>202007</v>
      </c>
      <c r="B314" s="41">
        <v>45</v>
      </c>
      <c r="C314" s="42" t="s">
        <v>137</v>
      </c>
      <c r="D314" s="58">
        <v>60747318000162</v>
      </c>
      <c r="E314" s="46" t="b">
        <v>0</v>
      </c>
      <c r="F314" s="46" t="b">
        <v>0</v>
      </c>
      <c r="G314" s="46" t="b">
        <v>1</v>
      </c>
      <c r="H314" s="42" t="s">
        <v>112</v>
      </c>
      <c r="I314" s="42" t="s">
        <v>113</v>
      </c>
      <c r="J314" s="21">
        <v>565</v>
      </c>
      <c r="K314" s="21">
        <v>565</v>
      </c>
      <c r="L314" s="10">
        <v>50002.5</v>
      </c>
      <c r="M314" s="10">
        <v>50002.5</v>
      </c>
    </row>
    <row r="315" spans="1:13" x14ac:dyDescent="0.25">
      <c r="A315" s="41">
        <v>202007</v>
      </c>
      <c r="B315" s="41">
        <v>45</v>
      </c>
      <c r="C315" s="42" t="s">
        <v>137</v>
      </c>
      <c r="D315" s="58">
        <v>37396017000624</v>
      </c>
      <c r="E315" s="46" t="b">
        <v>0</v>
      </c>
      <c r="F315" s="46" t="b">
        <v>1</v>
      </c>
      <c r="G315" s="46" t="b">
        <v>1</v>
      </c>
      <c r="H315" s="42" t="s">
        <v>96</v>
      </c>
      <c r="I315" s="42" t="s">
        <v>122</v>
      </c>
      <c r="J315" s="21">
        <v>100</v>
      </c>
      <c r="K315" s="21">
        <v>100</v>
      </c>
      <c r="L315" s="10">
        <v>9594.89</v>
      </c>
      <c r="M315" s="10">
        <v>9594.89</v>
      </c>
    </row>
    <row r="316" spans="1:13" x14ac:dyDescent="0.25">
      <c r="A316" s="41">
        <v>202007</v>
      </c>
      <c r="B316" s="41">
        <v>64</v>
      </c>
      <c r="C316" s="42" t="s">
        <v>133</v>
      </c>
      <c r="D316" s="58">
        <v>61599908000158</v>
      </c>
      <c r="E316" s="46" t="b">
        <v>0</v>
      </c>
      <c r="F316" s="46" t="b">
        <v>0</v>
      </c>
      <c r="G316" s="46" t="b">
        <v>1</v>
      </c>
      <c r="H316" s="42" t="s">
        <v>112</v>
      </c>
      <c r="I316" s="42" t="s">
        <v>113</v>
      </c>
      <c r="J316" s="21">
        <v>40</v>
      </c>
      <c r="K316" s="21">
        <v>40</v>
      </c>
      <c r="L316" s="10">
        <v>32964</v>
      </c>
      <c r="M316" s="10">
        <v>32964</v>
      </c>
    </row>
    <row r="317" spans="1:13" x14ac:dyDescent="0.25">
      <c r="A317" s="41">
        <v>202007</v>
      </c>
      <c r="B317" s="41">
        <v>47</v>
      </c>
      <c r="C317" s="42" t="s">
        <v>111</v>
      </c>
      <c r="D317" s="58">
        <v>61599908000158</v>
      </c>
      <c r="E317" s="46" t="b">
        <v>0</v>
      </c>
      <c r="F317" s="46" t="b">
        <v>0</v>
      </c>
      <c r="G317" s="46" t="b">
        <v>1</v>
      </c>
      <c r="H317" s="42" t="s">
        <v>112</v>
      </c>
      <c r="I317" s="42" t="s">
        <v>113</v>
      </c>
      <c r="J317" s="21">
        <v>10</v>
      </c>
      <c r="K317" s="21">
        <v>10</v>
      </c>
      <c r="L317" s="10">
        <v>1344.8</v>
      </c>
      <c r="M317" s="10">
        <v>1344.8</v>
      </c>
    </row>
    <row r="318" spans="1:13" x14ac:dyDescent="0.25">
      <c r="A318" s="41">
        <v>202007</v>
      </c>
      <c r="B318" s="41">
        <v>73</v>
      </c>
      <c r="C318" s="42" t="s">
        <v>135</v>
      </c>
      <c r="D318" s="58">
        <v>4027894000326</v>
      </c>
      <c r="E318" s="46" t="b">
        <v>0</v>
      </c>
      <c r="F318" s="46" t="b">
        <v>1</v>
      </c>
      <c r="G318" s="46" t="b">
        <v>1</v>
      </c>
      <c r="H318" s="42" t="s">
        <v>112</v>
      </c>
      <c r="I318" s="42" t="s">
        <v>115</v>
      </c>
      <c r="J318" s="21">
        <v>50</v>
      </c>
      <c r="K318" s="21">
        <v>50</v>
      </c>
      <c r="L318" s="10">
        <v>11615.55</v>
      </c>
      <c r="M318" s="10">
        <v>11615.55</v>
      </c>
    </row>
    <row r="319" spans="1:13" x14ac:dyDescent="0.25">
      <c r="A319" s="41">
        <v>202007</v>
      </c>
      <c r="B319" s="41">
        <v>73</v>
      </c>
      <c r="C319" s="42" t="s">
        <v>138</v>
      </c>
      <c r="D319" s="58">
        <v>4027894000326</v>
      </c>
      <c r="E319" s="46" t="b">
        <v>0</v>
      </c>
      <c r="F319" s="46" t="b">
        <v>1</v>
      </c>
      <c r="G319" s="46" t="b">
        <v>1</v>
      </c>
      <c r="H319" s="42" t="s">
        <v>112</v>
      </c>
      <c r="I319" s="42" t="s">
        <v>115</v>
      </c>
      <c r="J319" s="21">
        <v>200</v>
      </c>
      <c r="K319" s="21">
        <v>400</v>
      </c>
      <c r="L319" s="10">
        <v>92927.679999999993</v>
      </c>
      <c r="M319" s="10">
        <v>92927.679999999993</v>
      </c>
    </row>
    <row r="320" spans="1:13" x14ac:dyDescent="0.25">
      <c r="A320" s="41">
        <v>202007</v>
      </c>
      <c r="B320" s="41">
        <v>73</v>
      </c>
      <c r="C320" s="42" t="s">
        <v>141</v>
      </c>
      <c r="D320" s="58">
        <v>4027894000326</v>
      </c>
      <c r="E320" s="46" t="b">
        <v>0</v>
      </c>
      <c r="F320" s="46" t="b">
        <v>1</v>
      </c>
      <c r="G320" s="46" t="b">
        <v>1</v>
      </c>
      <c r="H320" s="42" t="s">
        <v>112</v>
      </c>
      <c r="I320" s="42" t="s">
        <v>115</v>
      </c>
      <c r="J320" s="21">
        <v>50</v>
      </c>
      <c r="K320" s="21">
        <v>200</v>
      </c>
      <c r="L320" s="10">
        <v>46463.02</v>
      </c>
      <c r="M320" s="10">
        <v>46463.02</v>
      </c>
    </row>
    <row r="321" spans="1:13" x14ac:dyDescent="0.25">
      <c r="A321" s="41">
        <v>202007</v>
      </c>
      <c r="B321" s="41">
        <v>47</v>
      </c>
      <c r="C321" s="42" t="s">
        <v>111</v>
      </c>
      <c r="D321" s="58">
        <v>4027894000326</v>
      </c>
      <c r="E321" s="46" t="b">
        <v>0</v>
      </c>
      <c r="F321" s="46" t="b">
        <v>1</v>
      </c>
      <c r="G321" s="46" t="b">
        <v>1</v>
      </c>
      <c r="H321" s="42" t="s">
        <v>112</v>
      </c>
      <c r="I321" s="42" t="s">
        <v>115</v>
      </c>
      <c r="J321" s="21">
        <v>300</v>
      </c>
      <c r="K321" s="21">
        <v>300</v>
      </c>
      <c r="L321" s="10">
        <v>44705.9</v>
      </c>
      <c r="M321" s="10">
        <v>44705.9</v>
      </c>
    </row>
    <row r="322" spans="1:13" x14ac:dyDescent="0.25">
      <c r="A322" s="41">
        <v>202007</v>
      </c>
      <c r="B322" s="41">
        <v>56</v>
      </c>
      <c r="C322" s="42" t="s">
        <v>136</v>
      </c>
      <c r="D322" s="58">
        <v>4027894000326</v>
      </c>
      <c r="E322" s="46" t="b">
        <v>0</v>
      </c>
      <c r="F322" s="46" t="b">
        <v>1</v>
      </c>
      <c r="G322" s="46" t="b">
        <v>1</v>
      </c>
      <c r="H322" s="42" t="s">
        <v>112</v>
      </c>
      <c r="I322" s="42" t="s">
        <v>115</v>
      </c>
      <c r="J322" s="21">
        <v>50</v>
      </c>
      <c r="K322" s="21">
        <v>50</v>
      </c>
      <c r="L322" s="10">
        <v>1883.81</v>
      </c>
      <c r="M322" s="10">
        <v>1883.81</v>
      </c>
    </row>
    <row r="323" spans="1:13" x14ac:dyDescent="0.25">
      <c r="A323" s="41">
        <v>202007</v>
      </c>
      <c r="B323" s="41">
        <v>73</v>
      </c>
      <c r="C323" s="42" t="s">
        <v>138</v>
      </c>
      <c r="D323" s="58">
        <v>18269125000187</v>
      </c>
      <c r="E323" s="46" t="b">
        <v>0</v>
      </c>
      <c r="F323" s="46" t="b">
        <v>1</v>
      </c>
      <c r="G323" s="46" t="b">
        <v>1</v>
      </c>
      <c r="H323" s="42" t="s">
        <v>94</v>
      </c>
      <c r="I323" s="42" t="s">
        <v>95</v>
      </c>
      <c r="J323" s="21">
        <v>50</v>
      </c>
      <c r="K323" s="21">
        <v>100</v>
      </c>
      <c r="L323" s="10">
        <v>23232</v>
      </c>
      <c r="M323" s="10">
        <v>23232</v>
      </c>
    </row>
    <row r="324" spans="1:13" x14ac:dyDescent="0.25">
      <c r="A324" s="41">
        <v>202007</v>
      </c>
      <c r="B324" s="41">
        <v>47</v>
      </c>
      <c r="C324" s="42" t="s">
        <v>111</v>
      </c>
      <c r="D324" s="58">
        <v>18269125000187</v>
      </c>
      <c r="E324" s="46" t="b">
        <v>0</v>
      </c>
      <c r="F324" s="46" t="b">
        <v>1</v>
      </c>
      <c r="G324" s="46" t="b">
        <v>1</v>
      </c>
      <c r="H324" s="42" t="s">
        <v>94</v>
      </c>
      <c r="I324" s="42" t="s">
        <v>95</v>
      </c>
      <c r="J324" s="21">
        <v>3000</v>
      </c>
      <c r="K324" s="21">
        <v>3000</v>
      </c>
      <c r="L324" s="10">
        <v>447052.85</v>
      </c>
      <c r="M324" s="10">
        <v>447052.85</v>
      </c>
    </row>
    <row r="325" spans="1:13" x14ac:dyDescent="0.25">
      <c r="A325" s="41">
        <v>202007</v>
      </c>
      <c r="B325" s="41">
        <v>45</v>
      </c>
      <c r="C325" s="42" t="s">
        <v>137</v>
      </c>
      <c r="D325" s="58">
        <v>10586940000168</v>
      </c>
      <c r="E325" s="46" t="b">
        <v>0</v>
      </c>
      <c r="F325" s="46" t="b">
        <v>1</v>
      </c>
      <c r="G325" s="46" t="b">
        <v>1</v>
      </c>
      <c r="H325" s="42" t="s">
        <v>94</v>
      </c>
      <c r="I325" s="42" t="s">
        <v>95</v>
      </c>
      <c r="J325" s="21">
        <v>200</v>
      </c>
      <c r="K325" s="21">
        <v>200</v>
      </c>
      <c r="L325" s="10">
        <v>16726.91</v>
      </c>
      <c r="M325" s="10">
        <v>16726.91</v>
      </c>
    </row>
    <row r="326" spans="1:13" x14ac:dyDescent="0.25">
      <c r="A326" s="41">
        <v>202007</v>
      </c>
      <c r="B326" s="41">
        <v>45</v>
      </c>
      <c r="C326" s="42" t="s">
        <v>137</v>
      </c>
      <c r="D326" s="58">
        <v>24082016000159</v>
      </c>
      <c r="E326" s="46" t="b">
        <v>0</v>
      </c>
      <c r="F326" s="46" t="b">
        <v>0</v>
      </c>
      <c r="G326" s="46" t="b">
        <v>1</v>
      </c>
      <c r="H326" s="42" t="s">
        <v>112</v>
      </c>
      <c r="I326" s="42" t="s">
        <v>115</v>
      </c>
      <c r="J326" s="21">
        <v>200</v>
      </c>
      <c r="K326" s="21">
        <v>200</v>
      </c>
      <c r="L326" s="10">
        <v>19400</v>
      </c>
      <c r="M326" s="10">
        <v>19400</v>
      </c>
    </row>
    <row r="327" spans="1:13" x14ac:dyDescent="0.25">
      <c r="A327" s="41">
        <v>202007</v>
      </c>
      <c r="B327" s="41">
        <v>47</v>
      </c>
      <c r="C327" s="42" t="s">
        <v>111</v>
      </c>
      <c r="D327" s="58">
        <v>10586940000168</v>
      </c>
      <c r="E327" s="46" t="b">
        <v>0</v>
      </c>
      <c r="F327" s="46" t="b">
        <v>1</v>
      </c>
      <c r="G327" s="46" t="b">
        <v>1</v>
      </c>
      <c r="H327" s="42" t="s">
        <v>94</v>
      </c>
      <c r="I327" s="42" t="s">
        <v>95</v>
      </c>
      <c r="J327" s="21">
        <v>10</v>
      </c>
      <c r="K327" s="21">
        <v>10</v>
      </c>
      <c r="L327" s="10">
        <v>1478.2</v>
      </c>
      <c r="M327" s="10">
        <v>1478.2</v>
      </c>
    </row>
    <row r="328" spans="1:13" x14ac:dyDescent="0.25">
      <c r="A328" s="41">
        <v>202007</v>
      </c>
      <c r="B328" s="41">
        <v>45</v>
      </c>
      <c r="C328" s="42" t="s">
        <v>137</v>
      </c>
      <c r="D328" s="58">
        <v>11051186000124</v>
      </c>
      <c r="E328" s="46" t="b">
        <v>0</v>
      </c>
      <c r="F328" s="46" t="b">
        <v>1</v>
      </c>
      <c r="G328" s="46" t="b">
        <v>1</v>
      </c>
      <c r="H328" s="42" t="s">
        <v>96</v>
      </c>
      <c r="I328" s="42" t="s">
        <v>129</v>
      </c>
      <c r="J328" s="21">
        <v>500</v>
      </c>
      <c r="K328" s="21">
        <v>500</v>
      </c>
      <c r="L328" s="10">
        <v>47150.97</v>
      </c>
      <c r="M328" s="10">
        <v>47150.97</v>
      </c>
    </row>
    <row r="329" spans="1:13" x14ac:dyDescent="0.25">
      <c r="A329" s="41">
        <v>202007</v>
      </c>
      <c r="B329" s="41">
        <v>56</v>
      </c>
      <c r="C329" s="42" t="s">
        <v>136</v>
      </c>
      <c r="D329" s="58">
        <v>2873606000167</v>
      </c>
      <c r="E329" s="46" t="b">
        <v>0</v>
      </c>
      <c r="F329" s="46" t="b">
        <v>1</v>
      </c>
      <c r="G329" s="46" t="b">
        <v>1</v>
      </c>
      <c r="H329" s="42" t="s">
        <v>94</v>
      </c>
      <c r="I329" s="42" t="s">
        <v>126</v>
      </c>
      <c r="J329" s="21">
        <v>200</v>
      </c>
      <c r="K329" s="21">
        <v>200</v>
      </c>
      <c r="L329" s="10">
        <v>6823.31</v>
      </c>
      <c r="M329" s="10">
        <v>6823.31</v>
      </c>
    </row>
    <row r="330" spans="1:13" x14ac:dyDescent="0.25">
      <c r="A330" s="41">
        <v>202007</v>
      </c>
      <c r="B330" s="41">
        <v>73</v>
      </c>
      <c r="C330" s="42" t="s">
        <v>138</v>
      </c>
      <c r="D330" s="58">
        <v>17700763000300</v>
      </c>
      <c r="E330" s="46" t="b">
        <v>0</v>
      </c>
      <c r="F330" s="46" t="b">
        <v>1</v>
      </c>
      <c r="G330" s="46" t="b">
        <v>1</v>
      </c>
      <c r="H330" s="42" t="s">
        <v>94</v>
      </c>
      <c r="I330" s="42" t="s">
        <v>100</v>
      </c>
      <c r="J330" s="21">
        <v>40</v>
      </c>
      <c r="K330" s="21">
        <v>80</v>
      </c>
      <c r="L330" s="10">
        <v>18585.54</v>
      </c>
      <c r="M330" s="10">
        <v>18585.54</v>
      </c>
    </row>
    <row r="331" spans="1:13" x14ac:dyDescent="0.25">
      <c r="A331" s="41">
        <v>202007</v>
      </c>
      <c r="B331" s="41">
        <v>47</v>
      </c>
      <c r="C331" s="42" t="s">
        <v>111</v>
      </c>
      <c r="D331" s="58">
        <v>21895020000148</v>
      </c>
      <c r="E331" s="46" t="b">
        <v>0</v>
      </c>
      <c r="F331" s="46" t="b">
        <v>1</v>
      </c>
      <c r="G331" s="46" t="b">
        <v>1</v>
      </c>
      <c r="H331" s="42" t="s">
        <v>96</v>
      </c>
      <c r="I331" s="42" t="s">
        <v>97</v>
      </c>
      <c r="J331" s="21">
        <v>100</v>
      </c>
      <c r="K331" s="21">
        <v>100</v>
      </c>
      <c r="L331" s="10">
        <v>14901.97</v>
      </c>
      <c r="M331" s="10">
        <v>14901.97</v>
      </c>
    </row>
    <row r="332" spans="1:13" x14ac:dyDescent="0.25">
      <c r="A332" s="41">
        <v>202007</v>
      </c>
      <c r="B332" s="41">
        <v>47</v>
      </c>
      <c r="C332" s="42" t="s">
        <v>111</v>
      </c>
      <c r="D332" s="58">
        <v>11051186000124</v>
      </c>
      <c r="E332" s="46" t="b">
        <v>0</v>
      </c>
      <c r="F332" s="46" t="b">
        <v>1</v>
      </c>
      <c r="G332" s="46" t="b">
        <v>1</v>
      </c>
      <c r="H332" s="42" t="s">
        <v>96</v>
      </c>
      <c r="I332" s="42" t="s">
        <v>129</v>
      </c>
      <c r="J332" s="21">
        <v>250</v>
      </c>
      <c r="K332" s="21">
        <v>250</v>
      </c>
      <c r="L332" s="10">
        <v>37254.92</v>
      </c>
      <c r="M332" s="10">
        <v>37254.92</v>
      </c>
    </row>
    <row r="333" spans="1:13" x14ac:dyDescent="0.25">
      <c r="A333" s="41">
        <v>202007</v>
      </c>
      <c r="B333" s="41">
        <v>47</v>
      </c>
      <c r="C333" s="42" t="s">
        <v>111</v>
      </c>
      <c r="D333" s="58">
        <v>6234797000178</v>
      </c>
      <c r="E333" s="46" t="b">
        <v>0</v>
      </c>
      <c r="F333" s="46" t="b">
        <v>1</v>
      </c>
      <c r="G333" s="46" t="b">
        <v>1</v>
      </c>
      <c r="H333" s="42" t="s">
        <v>96</v>
      </c>
      <c r="I333" s="42" t="s">
        <v>130</v>
      </c>
      <c r="J333" s="21">
        <v>160</v>
      </c>
      <c r="K333" s="21">
        <v>160</v>
      </c>
      <c r="L333" s="10">
        <v>24715.46</v>
      </c>
      <c r="M333" s="10">
        <v>24715.46</v>
      </c>
    </row>
    <row r="334" spans="1:13" x14ac:dyDescent="0.25">
      <c r="A334" s="41">
        <v>202007</v>
      </c>
      <c r="B334" s="41">
        <v>56</v>
      </c>
      <c r="C334" s="42" t="s">
        <v>136</v>
      </c>
      <c r="D334" s="58">
        <v>6234797000178</v>
      </c>
      <c r="E334" s="46" t="b">
        <v>0</v>
      </c>
      <c r="F334" s="46" t="b">
        <v>1</v>
      </c>
      <c r="G334" s="46" t="b">
        <v>1</v>
      </c>
      <c r="H334" s="42" t="s">
        <v>96</v>
      </c>
      <c r="I334" s="42" t="s">
        <v>130</v>
      </c>
      <c r="J334" s="21">
        <v>40</v>
      </c>
      <c r="K334" s="21">
        <v>40</v>
      </c>
      <c r="L334" s="10">
        <v>1507.05</v>
      </c>
      <c r="M334" s="10">
        <v>1507.05</v>
      </c>
    </row>
    <row r="335" spans="1:13" x14ac:dyDescent="0.25">
      <c r="A335" s="41">
        <v>202007</v>
      </c>
      <c r="B335" s="41">
        <v>57</v>
      </c>
      <c r="C335" s="42" t="s">
        <v>146</v>
      </c>
      <c r="D335" s="58">
        <v>2873606000167</v>
      </c>
      <c r="E335" s="46" t="b">
        <v>0</v>
      </c>
      <c r="F335" s="46" t="b">
        <v>1</v>
      </c>
      <c r="G335" s="46" t="b">
        <v>1</v>
      </c>
      <c r="H335" s="42" t="s">
        <v>94</v>
      </c>
      <c r="I335" s="42" t="s">
        <v>126</v>
      </c>
      <c r="J335" s="21">
        <v>80</v>
      </c>
      <c r="K335" s="21">
        <v>80</v>
      </c>
      <c r="L335" s="10">
        <v>31745.08</v>
      </c>
      <c r="M335" s="10">
        <v>31745.08</v>
      </c>
    </row>
    <row r="336" spans="1:13" x14ac:dyDescent="0.25">
      <c r="A336" s="41">
        <v>202007</v>
      </c>
      <c r="B336" s="41">
        <v>47</v>
      </c>
      <c r="C336" s="42" t="s">
        <v>111</v>
      </c>
      <c r="D336" s="58">
        <v>2873606000167</v>
      </c>
      <c r="E336" s="46" t="b">
        <v>0</v>
      </c>
      <c r="F336" s="46" t="b">
        <v>1</v>
      </c>
      <c r="G336" s="46" t="b">
        <v>1</v>
      </c>
      <c r="H336" s="42" t="s">
        <v>94</v>
      </c>
      <c r="I336" s="42" t="s">
        <v>126</v>
      </c>
      <c r="J336" s="21">
        <v>100</v>
      </c>
      <c r="K336" s="21">
        <v>100</v>
      </c>
      <c r="L336" s="10">
        <v>14901.76</v>
      </c>
      <c r="M336" s="10">
        <v>14901.76</v>
      </c>
    </row>
    <row r="337" spans="1:13" x14ac:dyDescent="0.25">
      <c r="A337" s="41">
        <v>202007</v>
      </c>
      <c r="B337" s="41">
        <v>62</v>
      </c>
      <c r="C337" s="42" t="s">
        <v>132</v>
      </c>
      <c r="D337" s="58">
        <v>11051186000124</v>
      </c>
      <c r="E337" s="46" t="b">
        <v>0</v>
      </c>
      <c r="F337" s="46" t="b">
        <v>1</v>
      </c>
      <c r="G337" s="46" t="b">
        <v>1</v>
      </c>
      <c r="H337" s="42" t="s">
        <v>96</v>
      </c>
      <c r="I337" s="42" t="s">
        <v>129</v>
      </c>
      <c r="J337" s="21">
        <v>13</v>
      </c>
      <c r="K337" s="21">
        <v>13</v>
      </c>
      <c r="L337" s="10">
        <v>16597.16</v>
      </c>
      <c r="M337" s="10">
        <v>16597.16</v>
      </c>
    </row>
    <row r="338" spans="1:13" x14ac:dyDescent="0.25">
      <c r="A338" s="41">
        <v>202007</v>
      </c>
      <c r="B338" s="41">
        <v>73</v>
      </c>
      <c r="C338" s="42" t="s">
        <v>141</v>
      </c>
      <c r="D338" s="58">
        <v>11051186000124</v>
      </c>
      <c r="E338" s="46" t="b">
        <v>0</v>
      </c>
      <c r="F338" s="46" t="b">
        <v>1</v>
      </c>
      <c r="G338" s="46" t="b">
        <v>1</v>
      </c>
      <c r="H338" s="42" t="s">
        <v>96</v>
      </c>
      <c r="I338" s="42" t="s">
        <v>129</v>
      </c>
      <c r="J338" s="21">
        <v>30</v>
      </c>
      <c r="K338" s="21">
        <v>120</v>
      </c>
      <c r="L338" s="10">
        <v>27877.81</v>
      </c>
      <c r="M338" s="10">
        <v>27877.81</v>
      </c>
    </row>
    <row r="339" spans="1:13" x14ac:dyDescent="0.25">
      <c r="A339" s="41">
        <v>202007</v>
      </c>
      <c r="B339" s="41">
        <v>45</v>
      </c>
      <c r="C339" s="42" t="s">
        <v>137</v>
      </c>
      <c r="D339" s="58">
        <v>87020517000120</v>
      </c>
      <c r="E339" s="46" t="b">
        <v>0</v>
      </c>
      <c r="F339" s="46" t="b">
        <v>0</v>
      </c>
      <c r="G339" s="46" t="b">
        <v>1</v>
      </c>
      <c r="H339" s="42" t="s">
        <v>94</v>
      </c>
      <c r="I339" s="42" t="s">
        <v>126</v>
      </c>
      <c r="J339" s="21">
        <v>266</v>
      </c>
      <c r="K339" s="21">
        <v>266</v>
      </c>
      <c r="L339" s="10">
        <v>21812</v>
      </c>
      <c r="M339" s="10">
        <v>21812</v>
      </c>
    </row>
    <row r="340" spans="1:13" x14ac:dyDescent="0.25">
      <c r="A340" s="41">
        <v>202007</v>
      </c>
      <c r="B340" s="41">
        <v>45</v>
      </c>
      <c r="C340" s="42" t="s">
        <v>137</v>
      </c>
      <c r="D340" s="58">
        <v>5268490000125</v>
      </c>
      <c r="E340" s="46" t="b">
        <v>0</v>
      </c>
      <c r="F340" s="46" t="b">
        <v>1</v>
      </c>
      <c r="G340" s="46" t="b">
        <v>1</v>
      </c>
      <c r="H340" s="42" t="s">
        <v>96</v>
      </c>
      <c r="I340" s="42" t="s">
        <v>117</v>
      </c>
      <c r="J340" s="21">
        <v>1500</v>
      </c>
      <c r="K340" s="21">
        <v>1500</v>
      </c>
      <c r="L340" s="10">
        <v>147600.53</v>
      </c>
      <c r="M340" s="10">
        <v>147600.53</v>
      </c>
    </row>
    <row r="341" spans="1:13" x14ac:dyDescent="0.25">
      <c r="A341" s="41">
        <v>202007</v>
      </c>
      <c r="B341" s="41">
        <v>66</v>
      </c>
      <c r="C341" s="42" t="s">
        <v>43</v>
      </c>
      <c r="D341" s="58">
        <v>9660958000345</v>
      </c>
      <c r="E341" s="46" t="b">
        <v>0</v>
      </c>
      <c r="F341" s="46" t="b">
        <v>1</v>
      </c>
      <c r="G341" s="46" t="b">
        <v>1</v>
      </c>
      <c r="H341" s="42" t="s">
        <v>94</v>
      </c>
      <c r="I341" s="42" t="s">
        <v>127</v>
      </c>
      <c r="J341" s="21">
        <v>30</v>
      </c>
      <c r="K341" s="21">
        <v>30</v>
      </c>
      <c r="L341" s="10">
        <v>45619.46</v>
      </c>
      <c r="M341" s="10">
        <v>45619.46</v>
      </c>
    </row>
    <row r="342" spans="1:13" x14ac:dyDescent="0.25">
      <c r="A342" s="41">
        <v>202007</v>
      </c>
      <c r="B342" s="41">
        <v>66</v>
      </c>
      <c r="C342" s="42" t="s">
        <v>43</v>
      </c>
      <c r="D342" s="58">
        <v>9660958000345</v>
      </c>
      <c r="E342" s="46" t="b">
        <v>0</v>
      </c>
      <c r="F342" s="46" t="b">
        <v>1</v>
      </c>
      <c r="G342" s="46" t="b">
        <v>1</v>
      </c>
      <c r="H342" s="42" t="s">
        <v>94</v>
      </c>
      <c r="I342" s="42" t="s">
        <v>127</v>
      </c>
      <c r="J342" s="21">
        <v>20</v>
      </c>
      <c r="K342" s="21">
        <v>20</v>
      </c>
      <c r="L342" s="10">
        <v>30412.97</v>
      </c>
      <c r="M342" s="10">
        <v>30412.97</v>
      </c>
    </row>
    <row r="343" spans="1:13" x14ac:dyDescent="0.25">
      <c r="A343" s="41">
        <v>202007</v>
      </c>
      <c r="B343" s="41">
        <v>70</v>
      </c>
      <c r="C343" s="42" t="s">
        <v>140</v>
      </c>
      <c r="D343" s="58">
        <v>15145035000196</v>
      </c>
      <c r="E343" s="46" t="b">
        <v>0</v>
      </c>
      <c r="F343" s="46" t="b">
        <v>1</v>
      </c>
      <c r="G343" s="46" t="b">
        <v>1</v>
      </c>
      <c r="H343" s="42" t="s">
        <v>96</v>
      </c>
      <c r="I343" s="42" t="s">
        <v>130</v>
      </c>
      <c r="J343" s="21">
        <v>67</v>
      </c>
      <c r="K343" s="21">
        <v>670</v>
      </c>
      <c r="L343" s="10">
        <v>127416.8</v>
      </c>
      <c r="M343" s="10">
        <v>127416.8</v>
      </c>
    </row>
    <row r="344" spans="1:13" x14ac:dyDescent="0.25">
      <c r="A344" s="41">
        <v>202007</v>
      </c>
      <c r="B344" s="41">
        <v>45</v>
      </c>
      <c r="C344" s="42" t="s">
        <v>137</v>
      </c>
      <c r="D344" s="58">
        <v>10586940000168</v>
      </c>
      <c r="E344" s="46" t="b">
        <v>0</v>
      </c>
      <c r="F344" s="46" t="b">
        <v>1</v>
      </c>
      <c r="G344" s="46" t="b">
        <v>1</v>
      </c>
      <c r="H344" s="42" t="s">
        <v>94</v>
      </c>
      <c r="I344" s="42" t="s">
        <v>95</v>
      </c>
      <c r="J344" s="21">
        <v>200</v>
      </c>
      <c r="K344" s="21">
        <v>200</v>
      </c>
      <c r="L344" s="10">
        <v>16726.91</v>
      </c>
      <c r="M344" s="10">
        <v>16726.91</v>
      </c>
    </row>
    <row r="345" spans="1:13" x14ac:dyDescent="0.25">
      <c r="A345" s="41">
        <v>202007</v>
      </c>
      <c r="B345" s="41">
        <v>45</v>
      </c>
      <c r="C345" s="42" t="s">
        <v>137</v>
      </c>
      <c r="D345" s="58">
        <v>10586940000168</v>
      </c>
      <c r="E345" s="46" t="b">
        <v>0</v>
      </c>
      <c r="F345" s="46" t="b">
        <v>1</v>
      </c>
      <c r="G345" s="46" t="b">
        <v>1</v>
      </c>
      <c r="H345" s="42" t="s">
        <v>94</v>
      </c>
      <c r="I345" s="42" t="s">
        <v>95</v>
      </c>
      <c r="J345" s="21">
        <v>100</v>
      </c>
      <c r="K345" s="21">
        <v>100</v>
      </c>
      <c r="L345" s="10">
        <v>8363.4500000000007</v>
      </c>
      <c r="M345" s="10">
        <v>8363.4500000000007</v>
      </c>
    </row>
    <row r="346" spans="1:13" x14ac:dyDescent="0.25">
      <c r="A346" s="41">
        <v>202007</v>
      </c>
      <c r="B346" s="41">
        <v>45</v>
      </c>
      <c r="C346" s="42" t="s">
        <v>137</v>
      </c>
      <c r="D346" s="58">
        <v>4355394000151</v>
      </c>
      <c r="E346" s="46" t="b">
        <v>0</v>
      </c>
      <c r="F346" s="46" t="b">
        <v>1</v>
      </c>
      <c r="G346" s="46" t="b">
        <v>1</v>
      </c>
      <c r="H346" s="42" t="s">
        <v>94</v>
      </c>
      <c r="I346" s="42" t="s">
        <v>128</v>
      </c>
      <c r="J346" s="21">
        <v>110</v>
      </c>
      <c r="K346" s="21">
        <v>110</v>
      </c>
      <c r="L346" s="10">
        <v>9471.51</v>
      </c>
      <c r="M346" s="10">
        <v>9471.51</v>
      </c>
    </row>
    <row r="347" spans="1:13" x14ac:dyDescent="0.25">
      <c r="A347" s="41">
        <v>202007</v>
      </c>
      <c r="B347" s="41">
        <v>45</v>
      </c>
      <c r="C347" s="42" t="s">
        <v>137</v>
      </c>
      <c r="D347" s="58">
        <v>4355394000151</v>
      </c>
      <c r="E347" s="46" t="b">
        <v>0</v>
      </c>
      <c r="F347" s="46" t="b">
        <v>1</v>
      </c>
      <c r="G347" s="46" t="b">
        <v>1</v>
      </c>
      <c r="H347" s="42" t="s">
        <v>94</v>
      </c>
      <c r="I347" s="42" t="s">
        <v>128</v>
      </c>
      <c r="J347" s="21">
        <v>890</v>
      </c>
      <c r="K347" s="21">
        <v>890</v>
      </c>
      <c r="L347" s="10">
        <v>76633.149999999994</v>
      </c>
      <c r="M347" s="10">
        <v>76633.149999999994</v>
      </c>
    </row>
    <row r="348" spans="1:13" x14ac:dyDescent="0.25">
      <c r="A348" s="41">
        <v>202007</v>
      </c>
      <c r="B348" s="41">
        <v>47</v>
      </c>
      <c r="C348" s="42" t="s">
        <v>111</v>
      </c>
      <c r="D348" s="58">
        <v>4355394000151</v>
      </c>
      <c r="E348" s="46" t="b">
        <v>0</v>
      </c>
      <c r="F348" s="46" t="b">
        <v>1</v>
      </c>
      <c r="G348" s="46" t="b">
        <v>1</v>
      </c>
      <c r="H348" s="42" t="s">
        <v>94</v>
      </c>
      <c r="I348" s="42" t="s">
        <v>128</v>
      </c>
      <c r="J348" s="21">
        <v>200</v>
      </c>
      <c r="K348" s="21">
        <v>200</v>
      </c>
      <c r="L348" s="10">
        <v>29925.98</v>
      </c>
      <c r="M348" s="10">
        <v>29925.98</v>
      </c>
    </row>
    <row r="349" spans="1:13" x14ac:dyDescent="0.25">
      <c r="A349" s="41">
        <v>202007</v>
      </c>
      <c r="B349" s="41">
        <v>73</v>
      </c>
      <c r="C349" s="42" t="s">
        <v>138</v>
      </c>
      <c r="D349" s="58">
        <v>4355394000151</v>
      </c>
      <c r="E349" s="46" t="b">
        <v>0</v>
      </c>
      <c r="F349" s="46" t="b">
        <v>1</v>
      </c>
      <c r="G349" s="46" t="b">
        <v>1</v>
      </c>
      <c r="H349" s="42" t="s">
        <v>94</v>
      </c>
      <c r="I349" s="42" t="s">
        <v>128</v>
      </c>
      <c r="J349" s="21">
        <v>15</v>
      </c>
      <c r="K349" s="21">
        <v>30</v>
      </c>
      <c r="L349" s="10">
        <v>6598.01</v>
      </c>
      <c r="M349" s="10">
        <v>6598.01</v>
      </c>
    </row>
    <row r="350" spans="1:13" x14ac:dyDescent="0.25">
      <c r="A350" s="41">
        <v>202007</v>
      </c>
      <c r="B350" s="41">
        <v>73</v>
      </c>
      <c r="C350" s="42" t="s">
        <v>141</v>
      </c>
      <c r="D350" s="58">
        <v>4355394000151</v>
      </c>
      <c r="E350" s="46" t="b">
        <v>0</v>
      </c>
      <c r="F350" s="46" t="b">
        <v>1</v>
      </c>
      <c r="G350" s="46" t="b">
        <v>1</v>
      </c>
      <c r="H350" s="42" t="s">
        <v>94</v>
      </c>
      <c r="I350" s="42" t="s">
        <v>128</v>
      </c>
      <c r="J350" s="21">
        <v>10</v>
      </c>
      <c r="K350" s="21">
        <v>40</v>
      </c>
      <c r="L350" s="10">
        <v>8797.27</v>
      </c>
      <c r="M350" s="10">
        <v>8797.27</v>
      </c>
    </row>
    <row r="351" spans="1:13" x14ac:dyDescent="0.25">
      <c r="A351" s="41">
        <v>202007</v>
      </c>
      <c r="B351" s="41">
        <v>45</v>
      </c>
      <c r="C351" s="42" t="s">
        <v>137</v>
      </c>
      <c r="D351" s="58">
        <v>4355394000151</v>
      </c>
      <c r="E351" s="46" t="b">
        <v>0</v>
      </c>
      <c r="F351" s="46" t="b">
        <v>1</v>
      </c>
      <c r="G351" s="46" t="b">
        <v>1</v>
      </c>
      <c r="H351" s="42" t="s">
        <v>94</v>
      </c>
      <c r="I351" s="42" t="s">
        <v>128</v>
      </c>
      <c r="J351" s="21">
        <v>1000</v>
      </c>
      <c r="K351" s="21">
        <v>1000</v>
      </c>
      <c r="L351" s="10">
        <v>86104.66</v>
      </c>
      <c r="M351" s="10">
        <v>86104.66</v>
      </c>
    </row>
    <row r="352" spans="1:13" x14ac:dyDescent="0.25">
      <c r="A352" s="41">
        <v>202007</v>
      </c>
      <c r="B352" s="41">
        <v>47</v>
      </c>
      <c r="C352" s="42" t="s">
        <v>111</v>
      </c>
      <c r="D352" s="58">
        <v>4355394000151</v>
      </c>
      <c r="E352" s="46" t="b">
        <v>0</v>
      </c>
      <c r="F352" s="46" t="b">
        <v>1</v>
      </c>
      <c r="G352" s="46" t="b">
        <v>1</v>
      </c>
      <c r="H352" s="42" t="s">
        <v>94</v>
      </c>
      <c r="I352" s="42" t="s">
        <v>128</v>
      </c>
      <c r="J352" s="21">
        <v>200</v>
      </c>
      <c r="K352" s="21">
        <v>200</v>
      </c>
      <c r="L352" s="10">
        <v>29925.98</v>
      </c>
      <c r="M352" s="10">
        <v>29925.98</v>
      </c>
    </row>
    <row r="353" spans="1:13" x14ac:dyDescent="0.25">
      <c r="A353" s="41">
        <v>202007</v>
      </c>
      <c r="B353" s="41">
        <v>73</v>
      </c>
      <c r="C353" s="42" t="s">
        <v>141</v>
      </c>
      <c r="D353" s="58">
        <v>4355394000151</v>
      </c>
      <c r="E353" s="46" t="b">
        <v>0</v>
      </c>
      <c r="F353" s="46" t="b">
        <v>1</v>
      </c>
      <c r="G353" s="46" t="b">
        <v>1</v>
      </c>
      <c r="H353" s="42" t="s">
        <v>94</v>
      </c>
      <c r="I353" s="42" t="s">
        <v>128</v>
      </c>
      <c r="J353" s="21">
        <v>20</v>
      </c>
      <c r="K353" s="21">
        <v>80</v>
      </c>
      <c r="L353" s="10">
        <v>17594.39</v>
      </c>
      <c r="M353" s="10">
        <v>17594.39</v>
      </c>
    </row>
    <row r="354" spans="1:13" x14ac:dyDescent="0.25">
      <c r="A354" s="41">
        <v>202007</v>
      </c>
      <c r="B354" s="41">
        <v>45</v>
      </c>
      <c r="C354" s="42" t="s">
        <v>137</v>
      </c>
      <c r="D354" s="58">
        <v>4355394000151</v>
      </c>
      <c r="E354" s="46" t="b">
        <v>0</v>
      </c>
      <c r="F354" s="46" t="b">
        <v>1</v>
      </c>
      <c r="G354" s="46" t="b">
        <v>1</v>
      </c>
      <c r="H354" s="42" t="s">
        <v>94</v>
      </c>
      <c r="I354" s="42" t="s">
        <v>128</v>
      </c>
      <c r="J354" s="21">
        <v>1000</v>
      </c>
      <c r="K354" s="21">
        <v>1000</v>
      </c>
      <c r="L354" s="10">
        <v>86104.66</v>
      </c>
      <c r="M354" s="10">
        <v>86104.66</v>
      </c>
    </row>
    <row r="355" spans="1:13" x14ac:dyDescent="0.25">
      <c r="A355" s="41">
        <v>202007</v>
      </c>
      <c r="B355" s="41">
        <v>47</v>
      </c>
      <c r="C355" s="42" t="s">
        <v>111</v>
      </c>
      <c r="D355" s="58">
        <v>4355394000151</v>
      </c>
      <c r="E355" s="46" t="b">
        <v>0</v>
      </c>
      <c r="F355" s="46" t="b">
        <v>1</v>
      </c>
      <c r="G355" s="46" t="b">
        <v>1</v>
      </c>
      <c r="H355" s="42" t="s">
        <v>94</v>
      </c>
      <c r="I355" s="42" t="s">
        <v>128</v>
      </c>
      <c r="J355" s="21">
        <v>200</v>
      </c>
      <c r="K355" s="21">
        <v>200</v>
      </c>
      <c r="L355" s="10">
        <v>29925.98</v>
      </c>
      <c r="M355" s="10">
        <v>29925.98</v>
      </c>
    </row>
    <row r="356" spans="1:13" x14ac:dyDescent="0.25">
      <c r="A356" s="41">
        <v>202007</v>
      </c>
      <c r="B356" s="41">
        <v>73</v>
      </c>
      <c r="C356" s="42" t="s">
        <v>138</v>
      </c>
      <c r="D356" s="58">
        <v>4355394000151</v>
      </c>
      <c r="E356" s="46" t="b">
        <v>0</v>
      </c>
      <c r="F356" s="46" t="b">
        <v>1</v>
      </c>
      <c r="G356" s="46" t="b">
        <v>1</v>
      </c>
      <c r="H356" s="42" t="s">
        <v>94</v>
      </c>
      <c r="I356" s="42" t="s">
        <v>128</v>
      </c>
      <c r="J356" s="21">
        <v>30</v>
      </c>
      <c r="K356" s="21">
        <v>60</v>
      </c>
      <c r="L356" s="10">
        <v>13196.02</v>
      </c>
      <c r="M356" s="10">
        <v>13196.02</v>
      </c>
    </row>
    <row r="357" spans="1:13" x14ac:dyDescent="0.25">
      <c r="A357" s="41">
        <v>202007</v>
      </c>
      <c r="B357" s="41">
        <v>47</v>
      </c>
      <c r="C357" s="42" t="s">
        <v>111</v>
      </c>
      <c r="D357" s="58">
        <v>13864377000130</v>
      </c>
      <c r="E357" s="46" t="b">
        <v>0</v>
      </c>
      <c r="F357" s="46" t="b">
        <v>0</v>
      </c>
      <c r="G357" s="46" t="b">
        <v>1</v>
      </c>
      <c r="H357" s="42" t="s">
        <v>112</v>
      </c>
      <c r="I357" s="42" t="s">
        <v>113</v>
      </c>
      <c r="J357" s="21">
        <v>1</v>
      </c>
      <c r="K357" s="21">
        <v>1</v>
      </c>
      <c r="L357" s="10">
        <v>151.69999999999999</v>
      </c>
      <c r="M357" s="10">
        <v>151.69999999999999</v>
      </c>
    </row>
    <row r="358" spans="1:13" x14ac:dyDescent="0.25">
      <c r="A358" s="41">
        <v>202007</v>
      </c>
      <c r="B358" s="41">
        <v>47</v>
      </c>
      <c r="C358" s="42" t="s">
        <v>111</v>
      </c>
      <c r="D358" s="58">
        <v>13864377000130</v>
      </c>
      <c r="E358" s="46" t="b">
        <v>0</v>
      </c>
      <c r="F358" s="46" t="b">
        <v>0</v>
      </c>
      <c r="G358" s="46" t="b">
        <v>1</v>
      </c>
      <c r="H358" s="42" t="s">
        <v>112</v>
      </c>
      <c r="I358" s="42" t="s">
        <v>113</v>
      </c>
      <c r="J358" s="21">
        <v>1999</v>
      </c>
      <c r="K358" s="21">
        <v>1999</v>
      </c>
      <c r="L358" s="10">
        <v>303248.3</v>
      </c>
      <c r="M358" s="10">
        <v>303248.3</v>
      </c>
    </row>
    <row r="359" spans="1:13" x14ac:dyDescent="0.25">
      <c r="A359" s="41">
        <v>202007</v>
      </c>
      <c r="B359" s="41">
        <v>70</v>
      </c>
      <c r="C359" s="42" t="s">
        <v>139</v>
      </c>
      <c r="D359" s="58">
        <v>12420164000904</v>
      </c>
      <c r="E359" s="46" t="b">
        <v>0</v>
      </c>
      <c r="F359" s="46" t="b">
        <v>1</v>
      </c>
      <c r="G359" s="46" t="b">
        <v>1</v>
      </c>
      <c r="H359" s="42" t="s">
        <v>96</v>
      </c>
      <c r="I359" s="42" t="s">
        <v>122</v>
      </c>
      <c r="J359" s="21">
        <v>262</v>
      </c>
      <c r="K359" s="21">
        <v>1310</v>
      </c>
      <c r="L359" s="10">
        <v>238680.04</v>
      </c>
      <c r="M359" s="10">
        <v>238680.04</v>
      </c>
    </row>
    <row r="360" spans="1:13" x14ac:dyDescent="0.25">
      <c r="A360" s="41">
        <v>202007</v>
      </c>
      <c r="B360" s="41">
        <v>47</v>
      </c>
      <c r="C360" s="42" t="s">
        <v>111</v>
      </c>
      <c r="D360" s="58">
        <v>20001049000176</v>
      </c>
      <c r="E360" s="46" t="b">
        <v>0</v>
      </c>
      <c r="F360" s="46" t="b">
        <v>1</v>
      </c>
      <c r="G360" s="46" t="b">
        <v>1</v>
      </c>
      <c r="H360" s="42" t="s">
        <v>96</v>
      </c>
      <c r="I360" s="42" t="s">
        <v>130</v>
      </c>
      <c r="J360" s="21">
        <v>180</v>
      </c>
      <c r="K360" s="21">
        <v>180</v>
      </c>
      <c r="L360" s="10">
        <v>26931.49</v>
      </c>
      <c r="M360" s="10">
        <v>26931.49</v>
      </c>
    </row>
    <row r="361" spans="1:13" x14ac:dyDescent="0.25">
      <c r="A361" s="41">
        <v>202007</v>
      </c>
      <c r="B361" s="41">
        <v>70</v>
      </c>
      <c r="C361" s="42" t="s">
        <v>140</v>
      </c>
      <c r="D361" s="58">
        <v>31378288000166</v>
      </c>
      <c r="E361" s="46" t="b">
        <v>0</v>
      </c>
      <c r="F361" s="46" t="b">
        <v>1</v>
      </c>
      <c r="G361" s="46" t="b">
        <v>1</v>
      </c>
      <c r="H361" s="42" t="s">
        <v>112</v>
      </c>
      <c r="I361" s="42" t="s">
        <v>115</v>
      </c>
      <c r="J361" s="21">
        <v>100</v>
      </c>
      <c r="K361" s="21">
        <v>1000</v>
      </c>
      <c r="L361" s="10">
        <v>213201.36</v>
      </c>
      <c r="M361" s="10">
        <v>213201.36</v>
      </c>
    </row>
    <row r="362" spans="1:13" x14ac:dyDescent="0.25">
      <c r="A362" s="41">
        <v>202007</v>
      </c>
      <c r="B362" s="41">
        <v>62</v>
      </c>
      <c r="C362" s="42" t="s">
        <v>132</v>
      </c>
      <c r="D362" s="58">
        <v>61590410000124</v>
      </c>
      <c r="E362" s="46" t="b">
        <v>0</v>
      </c>
      <c r="F362" s="46" t="b">
        <v>0</v>
      </c>
      <c r="G362" s="46" t="b">
        <v>1</v>
      </c>
      <c r="H362" s="42" t="s">
        <v>112</v>
      </c>
      <c r="I362" s="42" t="s">
        <v>134</v>
      </c>
      <c r="J362" s="21">
        <v>8</v>
      </c>
      <c r="K362" s="21">
        <v>8</v>
      </c>
      <c r="L362" s="10">
        <v>10673.28</v>
      </c>
      <c r="M362" s="10">
        <v>10673.28</v>
      </c>
    </row>
    <row r="363" spans="1:13" x14ac:dyDescent="0.25">
      <c r="A363" s="41">
        <v>202007</v>
      </c>
      <c r="B363" s="41">
        <v>45</v>
      </c>
      <c r="C363" s="42" t="s">
        <v>137</v>
      </c>
      <c r="D363" s="58">
        <v>4355394000151</v>
      </c>
      <c r="E363" s="46" t="b">
        <v>0</v>
      </c>
      <c r="F363" s="46" t="b">
        <v>1</v>
      </c>
      <c r="G363" s="46" t="b">
        <v>1</v>
      </c>
      <c r="H363" s="42" t="s">
        <v>94</v>
      </c>
      <c r="I363" s="42" t="s">
        <v>128</v>
      </c>
      <c r="J363" s="21">
        <v>88</v>
      </c>
      <c r="K363" s="21">
        <v>88</v>
      </c>
      <c r="L363" s="10">
        <v>7359.82</v>
      </c>
      <c r="M363" s="10">
        <v>7359.82</v>
      </c>
    </row>
    <row r="364" spans="1:13" x14ac:dyDescent="0.25">
      <c r="A364" s="41">
        <v>202007</v>
      </c>
      <c r="B364" s="41">
        <v>45</v>
      </c>
      <c r="C364" s="42" t="s">
        <v>137</v>
      </c>
      <c r="D364" s="58">
        <v>4355394000151</v>
      </c>
      <c r="E364" s="46" t="b">
        <v>0</v>
      </c>
      <c r="F364" s="46" t="b">
        <v>1</v>
      </c>
      <c r="G364" s="46" t="b">
        <v>1</v>
      </c>
      <c r="H364" s="42" t="s">
        <v>94</v>
      </c>
      <c r="I364" s="42" t="s">
        <v>128</v>
      </c>
      <c r="J364" s="21">
        <v>312</v>
      </c>
      <c r="K364" s="21">
        <v>312</v>
      </c>
      <c r="L364" s="10">
        <v>26093.91</v>
      </c>
      <c r="M364" s="10">
        <v>26093.91</v>
      </c>
    </row>
    <row r="365" spans="1:13" x14ac:dyDescent="0.25">
      <c r="A365" s="41">
        <v>202007</v>
      </c>
      <c r="B365" s="41">
        <v>47</v>
      </c>
      <c r="C365" s="42" t="s">
        <v>111</v>
      </c>
      <c r="D365" s="58">
        <v>4355394000151</v>
      </c>
      <c r="E365" s="46" t="b">
        <v>0</v>
      </c>
      <c r="F365" s="46" t="b">
        <v>1</v>
      </c>
      <c r="G365" s="46" t="b">
        <v>1</v>
      </c>
      <c r="H365" s="42" t="s">
        <v>94</v>
      </c>
      <c r="I365" s="42" t="s">
        <v>128</v>
      </c>
      <c r="J365" s="21">
        <v>150</v>
      </c>
      <c r="K365" s="21">
        <v>150</v>
      </c>
      <c r="L365" s="10">
        <v>17718.55</v>
      </c>
      <c r="M365" s="10">
        <v>17718.55</v>
      </c>
    </row>
    <row r="366" spans="1:13" x14ac:dyDescent="0.25">
      <c r="A366" s="41">
        <v>202007</v>
      </c>
      <c r="B366" s="41">
        <v>45</v>
      </c>
      <c r="C366" s="42" t="s">
        <v>137</v>
      </c>
      <c r="D366" s="58">
        <v>25211499000107</v>
      </c>
      <c r="E366" s="46" t="b">
        <v>0</v>
      </c>
      <c r="F366" s="46" t="b">
        <v>1</v>
      </c>
      <c r="G366" s="46" t="b">
        <v>1</v>
      </c>
      <c r="H366" s="42" t="s">
        <v>96</v>
      </c>
      <c r="I366" s="42" t="s">
        <v>122</v>
      </c>
      <c r="J366" s="21">
        <v>250</v>
      </c>
      <c r="K366" s="21">
        <v>250</v>
      </c>
      <c r="L366" s="10">
        <v>23604.21</v>
      </c>
      <c r="M366" s="10">
        <v>23604.21</v>
      </c>
    </row>
    <row r="367" spans="1:13" x14ac:dyDescent="0.25">
      <c r="A367" s="41">
        <v>202007</v>
      </c>
      <c r="B367" s="41">
        <v>45</v>
      </c>
      <c r="C367" s="42" t="s">
        <v>137</v>
      </c>
      <c r="D367" s="58">
        <v>46374500000941</v>
      </c>
      <c r="E367" s="46" t="b">
        <v>0</v>
      </c>
      <c r="F367" s="46" t="b">
        <v>0</v>
      </c>
      <c r="G367" s="46" t="b">
        <v>1</v>
      </c>
      <c r="H367" s="42" t="s">
        <v>112</v>
      </c>
      <c r="I367" s="42" t="s">
        <v>134</v>
      </c>
      <c r="J367" s="21">
        <v>800</v>
      </c>
      <c r="K367" s="21">
        <v>800</v>
      </c>
      <c r="L367" s="10">
        <v>70800</v>
      </c>
      <c r="M367" s="10">
        <v>70800</v>
      </c>
    </row>
    <row r="368" spans="1:13" x14ac:dyDescent="0.25">
      <c r="A368" s="41">
        <v>202007</v>
      </c>
      <c r="B368" s="41">
        <v>70</v>
      </c>
      <c r="C368" s="42" t="s">
        <v>139</v>
      </c>
      <c r="D368" s="58">
        <v>46374500000941</v>
      </c>
      <c r="E368" s="46" t="b">
        <v>0</v>
      </c>
      <c r="F368" s="46" t="b">
        <v>0</v>
      </c>
      <c r="G368" s="46" t="b">
        <v>1</v>
      </c>
      <c r="H368" s="42" t="s">
        <v>112</v>
      </c>
      <c r="I368" s="42" t="s">
        <v>134</v>
      </c>
      <c r="J368" s="21">
        <v>75</v>
      </c>
      <c r="K368" s="21">
        <v>375</v>
      </c>
      <c r="L368" s="10">
        <v>68250</v>
      </c>
      <c r="M368" s="10">
        <v>68250</v>
      </c>
    </row>
    <row r="369" spans="1:13" x14ac:dyDescent="0.25">
      <c r="A369" s="41">
        <v>202007</v>
      </c>
      <c r="B369" s="41">
        <v>45</v>
      </c>
      <c r="C369" s="42" t="s">
        <v>137</v>
      </c>
      <c r="D369" s="58">
        <v>46374500011633</v>
      </c>
      <c r="E369" s="46" t="b">
        <v>0</v>
      </c>
      <c r="F369" s="46" t="b">
        <v>0</v>
      </c>
      <c r="G369" s="46" t="b">
        <v>1</v>
      </c>
      <c r="H369" s="42" t="s">
        <v>112</v>
      </c>
      <c r="I369" s="42" t="s">
        <v>134</v>
      </c>
      <c r="J369" s="21">
        <v>300</v>
      </c>
      <c r="K369" s="21">
        <v>300</v>
      </c>
      <c r="L369" s="10">
        <v>26550</v>
      </c>
      <c r="M369" s="10">
        <v>26550</v>
      </c>
    </row>
    <row r="370" spans="1:13" x14ac:dyDescent="0.25">
      <c r="A370" s="41">
        <v>202007</v>
      </c>
      <c r="B370" s="41">
        <v>47</v>
      </c>
      <c r="C370" s="42" t="s">
        <v>111</v>
      </c>
      <c r="D370" s="58">
        <v>74031865000151</v>
      </c>
      <c r="E370" s="46" t="b">
        <v>0</v>
      </c>
      <c r="F370" s="46" t="b">
        <v>0</v>
      </c>
      <c r="G370" s="46" t="b">
        <v>1</v>
      </c>
      <c r="H370" s="42" t="s">
        <v>96</v>
      </c>
      <c r="I370" s="42" t="s">
        <v>117</v>
      </c>
      <c r="J370" s="21">
        <v>910</v>
      </c>
      <c r="K370" s="21">
        <v>910</v>
      </c>
      <c r="L370" s="10">
        <v>127600.2</v>
      </c>
      <c r="M370" s="10">
        <v>127600.2</v>
      </c>
    </row>
    <row r="371" spans="1:13" x14ac:dyDescent="0.25">
      <c r="A371" s="41">
        <v>202007</v>
      </c>
      <c r="B371" s="41">
        <v>73</v>
      </c>
      <c r="C371" s="42" t="s">
        <v>135</v>
      </c>
      <c r="D371" s="58">
        <v>11051186000124</v>
      </c>
      <c r="E371" s="46" t="b">
        <v>0</v>
      </c>
      <c r="F371" s="46" t="b">
        <v>1</v>
      </c>
      <c r="G371" s="46" t="b">
        <v>1</v>
      </c>
      <c r="H371" s="42" t="s">
        <v>96</v>
      </c>
      <c r="I371" s="42" t="s">
        <v>129</v>
      </c>
      <c r="J371" s="21">
        <v>3</v>
      </c>
      <c r="K371" s="21">
        <v>3</v>
      </c>
      <c r="L371" s="10">
        <v>696.93</v>
      </c>
      <c r="M371" s="10">
        <v>696.93</v>
      </c>
    </row>
    <row r="372" spans="1:13" x14ac:dyDescent="0.25">
      <c r="A372" s="41">
        <v>202007</v>
      </c>
      <c r="B372" s="41">
        <v>73</v>
      </c>
      <c r="C372" s="42" t="s">
        <v>138</v>
      </c>
      <c r="D372" s="58">
        <v>11051186000124</v>
      </c>
      <c r="E372" s="46" t="b">
        <v>0</v>
      </c>
      <c r="F372" s="46" t="b">
        <v>1</v>
      </c>
      <c r="G372" s="46" t="b">
        <v>1</v>
      </c>
      <c r="H372" s="42" t="s">
        <v>96</v>
      </c>
      <c r="I372" s="42" t="s">
        <v>129</v>
      </c>
      <c r="J372" s="21">
        <v>10</v>
      </c>
      <c r="K372" s="21">
        <v>20</v>
      </c>
      <c r="L372" s="10">
        <v>4646.38</v>
      </c>
      <c r="M372" s="10">
        <v>4646.38</v>
      </c>
    </row>
    <row r="373" spans="1:13" x14ac:dyDescent="0.25">
      <c r="A373" s="41">
        <v>202007</v>
      </c>
      <c r="B373" s="41">
        <v>45</v>
      </c>
      <c r="C373" s="42" t="s">
        <v>137</v>
      </c>
      <c r="D373" s="58">
        <v>18269125000187</v>
      </c>
      <c r="E373" s="46" t="b">
        <v>0</v>
      </c>
      <c r="F373" s="46" t="b">
        <v>1</v>
      </c>
      <c r="G373" s="46" t="b">
        <v>1</v>
      </c>
      <c r="H373" s="42" t="s">
        <v>94</v>
      </c>
      <c r="I373" s="42" t="s">
        <v>95</v>
      </c>
      <c r="J373" s="21">
        <v>2500</v>
      </c>
      <c r="K373" s="21">
        <v>2500</v>
      </c>
      <c r="L373" s="10">
        <v>225531.4</v>
      </c>
      <c r="M373" s="10">
        <v>225531.4</v>
      </c>
    </row>
    <row r="374" spans="1:13" x14ac:dyDescent="0.25">
      <c r="A374" s="41">
        <v>202007</v>
      </c>
      <c r="B374" s="41">
        <v>45</v>
      </c>
      <c r="C374" s="42" t="s">
        <v>137</v>
      </c>
      <c r="D374" s="58">
        <v>10586940000168</v>
      </c>
      <c r="E374" s="46" t="b">
        <v>0</v>
      </c>
      <c r="F374" s="46" t="b">
        <v>1</v>
      </c>
      <c r="G374" s="46" t="b">
        <v>1</v>
      </c>
      <c r="H374" s="42" t="s">
        <v>94</v>
      </c>
      <c r="I374" s="42" t="s">
        <v>95</v>
      </c>
      <c r="J374" s="21">
        <v>70</v>
      </c>
      <c r="K374" s="21">
        <v>70</v>
      </c>
      <c r="L374" s="10">
        <v>5854.42</v>
      </c>
      <c r="M374" s="10">
        <v>5854.42</v>
      </c>
    </row>
    <row r="375" spans="1:13" x14ac:dyDescent="0.25">
      <c r="A375" s="41">
        <v>202007</v>
      </c>
      <c r="B375" s="41">
        <v>70</v>
      </c>
      <c r="C375" s="42" t="s">
        <v>147</v>
      </c>
      <c r="D375" s="58">
        <v>46374500001670</v>
      </c>
      <c r="E375" s="46" t="b">
        <v>0</v>
      </c>
      <c r="F375" s="46" t="b">
        <v>0</v>
      </c>
      <c r="G375" s="46" t="b">
        <v>1</v>
      </c>
      <c r="H375" s="42" t="s">
        <v>112</v>
      </c>
      <c r="I375" s="42" t="s">
        <v>120</v>
      </c>
      <c r="J375" s="21">
        <v>8</v>
      </c>
      <c r="K375" s="21">
        <v>20</v>
      </c>
      <c r="L375" s="10">
        <v>3640</v>
      </c>
      <c r="M375" s="10">
        <v>3640</v>
      </c>
    </row>
    <row r="376" spans="1:13" x14ac:dyDescent="0.25">
      <c r="A376" s="41">
        <v>202007</v>
      </c>
      <c r="B376" s="41">
        <v>45</v>
      </c>
      <c r="C376" s="42" t="s">
        <v>137</v>
      </c>
      <c r="D376" s="58">
        <v>19843929001000</v>
      </c>
      <c r="E376" s="46" t="b">
        <v>0</v>
      </c>
      <c r="F376" s="46" t="b">
        <v>0</v>
      </c>
      <c r="G376" s="46" t="b">
        <v>1</v>
      </c>
      <c r="H376" s="42" t="s">
        <v>94</v>
      </c>
      <c r="I376" s="42" t="s">
        <v>95</v>
      </c>
      <c r="J376" s="21">
        <v>6</v>
      </c>
      <c r="K376" s="21">
        <v>6</v>
      </c>
      <c r="L376" s="10">
        <v>531.36</v>
      </c>
      <c r="M376" s="10">
        <v>531.36</v>
      </c>
    </row>
    <row r="377" spans="1:13" x14ac:dyDescent="0.25">
      <c r="A377" s="41">
        <v>202007</v>
      </c>
      <c r="B377" s="41">
        <v>45</v>
      </c>
      <c r="C377" s="42" t="s">
        <v>137</v>
      </c>
      <c r="D377" s="58">
        <v>19843929001000</v>
      </c>
      <c r="E377" s="46" t="b">
        <v>0</v>
      </c>
      <c r="F377" s="46" t="b">
        <v>0</v>
      </c>
      <c r="G377" s="46" t="b">
        <v>1</v>
      </c>
      <c r="H377" s="42" t="s">
        <v>94</v>
      </c>
      <c r="I377" s="42" t="s">
        <v>95</v>
      </c>
      <c r="J377" s="21">
        <v>10</v>
      </c>
      <c r="K377" s="21">
        <v>10</v>
      </c>
      <c r="L377" s="10">
        <v>885.6</v>
      </c>
      <c r="M377" s="10">
        <v>885.6</v>
      </c>
    </row>
    <row r="378" spans="1:13" x14ac:dyDescent="0.25">
      <c r="A378" s="41">
        <v>202007</v>
      </c>
      <c r="B378" s="41">
        <v>45</v>
      </c>
      <c r="C378" s="42" t="s">
        <v>137</v>
      </c>
      <c r="D378" s="58">
        <v>19843929001000</v>
      </c>
      <c r="E378" s="46" t="b">
        <v>0</v>
      </c>
      <c r="F378" s="46" t="b">
        <v>0</v>
      </c>
      <c r="G378" s="46" t="b">
        <v>1</v>
      </c>
      <c r="H378" s="42" t="s">
        <v>94</v>
      </c>
      <c r="I378" s="42" t="s">
        <v>95</v>
      </c>
      <c r="J378" s="21">
        <v>6</v>
      </c>
      <c r="K378" s="21">
        <v>6</v>
      </c>
      <c r="L378" s="10">
        <v>531.36</v>
      </c>
      <c r="M378" s="10">
        <v>531.36</v>
      </c>
    </row>
    <row r="379" spans="1:13" x14ac:dyDescent="0.25">
      <c r="A379" s="41">
        <v>202007</v>
      </c>
      <c r="B379" s="41">
        <v>70</v>
      </c>
      <c r="C379" s="42" t="s">
        <v>139</v>
      </c>
      <c r="D379" s="58">
        <v>4929345000185</v>
      </c>
      <c r="E379" s="46" t="b">
        <v>0</v>
      </c>
      <c r="F379" s="46" t="b">
        <v>0</v>
      </c>
      <c r="G379" s="46" t="b">
        <v>1</v>
      </c>
      <c r="H379" s="42" t="s">
        <v>96</v>
      </c>
      <c r="I379" s="42" t="s">
        <v>97</v>
      </c>
      <c r="J379" s="21">
        <v>150</v>
      </c>
      <c r="K379" s="21">
        <v>750</v>
      </c>
      <c r="L379" s="10">
        <v>153703.5</v>
      </c>
      <c r="M379" s="10">
        <v>153703.5</v>
      </c>
    </row>
    <row r="380" spans="1:13" x14ac:dyDescent="0.25">
      <c r="A380" s="41">
        <v>202007</v>
      </c>
      <c r="B380" s="41">
        <v>70</v>
      </c>
      <c r="C380" s="42" t="s">
        <v>139</v>
      </c>
      <c r="D380" s="58">
        <v>46374500008845</v>
      </c>
      <c r="E380" s="46" t="b">
        <v>0</v>
      </c>
      <c r="F380" s="46" t="b">
        <v>0</v>
      </c>
      <c r="G380" s="46" t="b">
        <v>1</v>
      </c>
      <c r="H380" s="42" t="s">
        <v>112</v>
      </c>
      <c r="I380" s="42" t="s">
        <v>134</v>
      </c>
      <c r="J380" s="21">
        <v>180</v>
      </c>
      <c r="K380" s="21">
        <v>900</v>
      </c>
      <c r="L380" s="10">
        <v>163800</v>
      </c>
      <c r="M380" s="10">
        <v>163800</v>
      </c>
    </row>
    <row r="381" spans="1:13" x14ac:dyDescent="0.25">
      <c r="A381" s="41">
        <v>202007</v>
      </c>
      <c r="B381" s="41">
        <v>45</v>
      </c>
      <c r="C381" s="42" t="s">
        <v>137</v>
      </c>
      <c r="D381" s="58">
        <v>22675359000100</v>
      </c>
      <c r="E381" s="46" t="b">
        <v>0</v>
      </c>
      <c r="F381" s="46" t="b">
        <v>0</v>
      </c>
      <c r="G381" s="46" t="b">
        <v>1</v>
      </c>
      <c r="H381" s="42" t="s">
        <v>94</v>
      </c>
      <c r="I381" s="42" t="s">
        <v>95</v>
      </c>
      <c r="J381" s="21">
        <v>200</v>
      </c>
      <c r="K381" s="21">
        <v>200</v>
      </c>
      <c r="L381" s="10">
        <v>17712</v>
      </c>
      <c r="M381" s="10">
        <v>17712</v>
      </c>
    </row>
    <row r="382" spans="1:13" x14ac:dyDescent="0.25">
      <c r="A382" s="41">
        <v>202007</v>
      </c>
      <c r="B382" s="41">
        <v>57</v>
      </c>
      <c r="C382" s="42" t="s">
        <v>146</v>
      </c>
      <c r="D382" s="58">
        <v>12474705000120</v>
      </c>
      <c r="E382" s="46" t="b">
        <v>0</v>
      </c>
      <c r="F382" s="46" t="b">
        <v>0</v>
      </c>
      <c r="G382" s="46" t="b">
        <v>1</v>
      </c>
      <c r="H382" s="42" t="s">
        <v>112</v>
      </c>
      <c r="I382" s="42" t="s">
        <v>115</v>
      </c>
      <c r="J382" s="21">
        <v>40</v>
      </c>
      <c r="K382" s="21">
        <v>40</v>
      </c>
      <c r="L382" s="10">
        <v>21200</v>
      </c>
      <c r="M382" s="10">
        <v>21200</v>
      </c>
    </row>
    <row r="383" spans="1:13" x14ac:dyDescent="0.25">
      <c r="A383" s="41">
        <v>202007</v>
      </c>
      <c r="B383" s="41">
        <v>70</v>
      </c>
      <c r="C383" s="42" t="s">
        <v>139</v>
      </c>
      <c r="D383" s="58">
        <v>27080605000943</v>
      </c>
      <c r="E383" s="46" t="b">
        <v>0</v>
      </c>
      <c r="F383" s="46" t="b">
        <v>0</v>
      </c>
      <c r="G383" s="46" t="b">
        <v>1</v>
      </c>
      <c r="H383" s="42" t="s">
        <v>94</v>
      </c>
      <c r="I383" s="42" t="s">
        <v>95</v>
      </c>
      <c r="J383" s="21">
        <v>15</v>
      </c>
      <c r="K383" s="21">
        <v>75</v>
      </c>
      <c r="L383" s="10">
        <v>13667.55</v>
      </c>
      <c r="M383" s="10">
        <v>13667.55</v>
      </c>
    </row>
    <row r="384" spans="1:13" x14ac:dyDescent="0.25">
      <c r="A384" s="41">
        <v>202007</v>
      </c>
      <c r="B384" s="41">
        <v>70</v>
      </c>
      <c r="C384" s="42" t="s">
        <v>139</v>
      </c>
      <c r="D384" s="58">
        <v>22675359000100</v>
      </c>
      <c r="E384" s="46" t="b">
        <v>0</v>
      </c>
      <c r="F384" s="46" t="b">
        <v>0</v>
      </c>
      <c r="G384" s="46" t="b">
        <v>1</v>
      </c>
      <c r="H384" s="42" t="s">
        <v>94</v>
      </c>
      <c r="I384" s="42" t="s">
        <v>95</v>
      </c>
      <c r="J384" s="21">
        <v>20</v>
      </c>
      <c r="K384" s="21">
        <v>100</v>
      </c>
      <c r="L384" s="10">
        <v>19900</v>
      </c>
      <c r="M384" s="10">
        <v>19900</v>
      </c>
    </row>
    <row r="385" spans="1:13" x14ac:dyDescent="0.25">
      <c r="A385" s="41">
        <v>202007</v>
      </c>
      <c r="B385" s="41">
        <v>45</v>
      </c>
      <c r="C385" s="42" t="s">
        <v>137</v>
      </c>
      <c r="D385" s="58">
        <v>17217332003906</v>
      </c>
      <c r="E385" s="46" t="b">
        <v>0</v>
      </c>
      <c r="F385" s="46" t="b">
        <v>0</v>
      </c>
      <c r="G385" s="46" t="b">
        <v>1</v>
      </c>
      <c r="H385" s="42" t="s">
        <v>94</v>
      </c>
      <c r="I385" s="42" t="s">
        <v>95</v>
      </c>
      <c r="J385" s="21">
        <v>250</v>
      </c>
      <c r="K385" s="21">
        <v>250</v>
      </c>
      <c r="L385" s="10">
        <v>22140</v>
      </c>
      <c r="M385" s="10">
        <v>22140</v>
      </c>
    </row>
    <row r="386" spans="1:13" x14ac:dyDescent="0.25">
      <c r="A386" s="41">
        <v>202007</v>
      </c>
      <c r="B386" s="41">
        <v>70</v>
      </c>
      <c r="C386" s="42" t="s">
        <v>147</v>
      </c>
      <c r="D386" s="58">
        <v>47018676000176</v>
      </c>
      <c r="E386" s="46" t="b">
        <v>0</v>
      </c>
      <c r="F386" s="46" t="b">
        <v>0</v>
      </c>
      <c r="G386" s="46" t="b">
        <v>1</v>
      </c>
      <c r="H386" s="42" t="s">
        <v>112</v>
      </c>
      <c r="I386" s="42" t="s">
        <v>98</v>
      </c>
      <c r="J386" s="21">
        <v>50</v>
      </c>
      <c r="K386" s="21">
        <v>125</v>
      </c>
      <c r="L386" s="10">
        <v>25617</v>
      </c>
      <c r="M386" s="10">
        <v>25617</v>
      </c>
    </row>
    <row r="387" spans="1:13" x14ac:dyDescent="0.25">
      <c r="A387" s="41">
        <v>202007</v>
      </c>
      <c r="B387" s="41">
        <v>64</v>
      </c>
      <c r="C387" s="42" t="s">
        <v>133</v>
      </c>
      <c r="D387" s="58">
        <v>3568867000136</v>
      </c>
      <c r="E387" s="46" t="b">
        <v>0</v>
      </c>
      <c r="F387" s="46" t="b">
        <v>0</v>
      </c>
      <c r="G387" s="46" t="b">
        <v>1</v>
      </c>
      <c r="H387" s="42" t="s">
        <v>96</v>
      </c>
      <c r="I387" s="42" t="s">
        <v>122</v>
      </c>
      <c r="J387" s="21">
        <v>10</v>
      </c>
      <c r="K387" s="21">
        <v>10</v>
      </c>
      <c r="L387" s="10">
        <v>9020</v>
      </c>
      <c r="M387" s="10">
        <v>9020</v>
      </c>
    </row>
    <row r="388" spans="1:13" x14ac:dyDescent="0.25">
      <c r="A388" s="41">
        <v>202007</v>
      </c>
      <c r="B388" s="41">
        <v>45</v>
      </c>
      <c r="C388" s="42" t="s">
        <v>137</v>
      </c>
      <c r="D388" s="58">
        <v>12474705000120</v>
      </c>
      <c r="E388" s="46" t="b">
        <v>0</v>
      </c>
      <c r="F388" s="46" t="b">
        <v>0</v>
      </c>
      <c r="G388" s="46" t="b">
        <v>1</v>
      </c>
      <c r="H388" s="42" t="s">
        <v>112</v>
      </c>
      <c r="I388" s="42" t="s">
        <v>115</v>
      </c>
      <c r="J388" s="21">
        <v>300</v>
      </c>
      <c r="K388" s="21">
        <v>300</v>
      </c>
      <c r="L388" s="10">
        <v>26550</v>
      </c>
      <c r="M388" s="10">
        <v>26550</v>
      </c>
    </row>
    <row r="389" spans="1:13" x14ac:dyDescent="0.25">
      <c r="A389" s="41">
        <v>202007</v>
      </c>
      <c r="B389" s="41">
        <v>70</v>
      </c>
      <c r="C389" s="42" t="s">
        <v>139</v>
      </c>
      <c r="D389" s="58">
        <v>47018676000176</v>
      </c>
      <c r="E389" s="46" t="b">
        <v>0</v>
      </c>
      <c r="F389" s="46" t="b">
        <v>0</v>
      </c>
      <c r="G389" s="46" t="b">
        <v>1</v>
      </c>
      <c r="H389" s="42" t="s">
        <v>112</v>
      </c>
      <c r="I389" s="42" t="s">
        <v>98</v>
      </c>
      <c r="J389" s="21">
        <v>50</v>
      </c>
      <c r="K389" s="21">
        <v>250</v>
      </c>
      <c r="L389" s="10">
        <v>51234.5</v>
      </c>
      <c r="M389" s="10">
        <v>51234.5</v>
      </c>
    </row>
    <row r="390" spans="1:13" x14ac:dyDescent="0.25">
      <c r="A390" s="41">
        <v>202007</v>
      </c>
      <c r="B390" s="41">
        <v>62</v>
      </c>
      <c r="C390" s="42" t="s">
        <v>132</v>
      </c>
      <c r="D390" s="58">
        <v>9053134000226</v>
      </c>
      <c r="E390" s="46" t="b">
        <v>0</v>
      </c>
      <c r="F390" s="46" t="b">
        <v>1</v>
      </c>
      <c r="G390" s="46" t="b">
        <v>1</v>
      </c>
      <c r="H390" s="42" t="s">
        <v>96</v>
      </c>
      <c r="I390" s="42" t="s">
        <v>129</v>
      </c>
      <c r="J390" s="21">
        <v>10</v>
      </c>
      <c r="K390" s="21">
        <v>10</v>
      </c>
      <c r="L390" s="10">
        <v>11574.97</v>
      </c>
      <c r="M390" s="10">
        <v>11574.97</v>
      </c>
    </row>
    <row r="391" spans="1:13" x14ac:dyDescent="0.25">
      <c r="A391" s="41">
        <v>202007</v>
      </c>
      <c r="B391" s="41">
        <v>47</v>
      </c>
      <c r="C391" s="42" t="s">
        <v>111</v>
      </c>
      <c r="D391" s="58">
        <v>9007162000126</v>
      </c>
      <c r="E391" s="46" t="b">
        <v>0</v>
      </c>
      <c r="F391" s="46" t="b">
        <v>1</v>
      </c>
      <c r="G391" s="46" t="b">
        <v>1</v>
      </c>
      <c r="H391" s="42" t="s">
        <v>96</v>
      </c>
      <c r="I391" s="42" t="s">
        <v>129</v>
      </c>
      <c r="J391" s="21">
        <v>2000</v>
      </c>
      <c r="K391" s="21">
        <v>2000</v>
      </c>
      <c r="L391" s="10">
        <v>272596.95</v>
      </c>
      <c r="M391" s="10">
        <v>272596.95</v>
      </c>
    </row>
    <row r="392" spans="1:13" x14ac:dyDescent="0.25">
      <c r="A392" s="41">
        <v>202007</v>
      </c>
      <c r="B392" s="41">
        <v>47</v>
      </c>
      <c r="C392" s="42" t="s">
        <v>111</v>
      </c>
      <c r="D392" s="58">
        <v>27191294000132</v>
      </c>
      <c r="E392" s="46" t="b">
        <v>0</v>
      </c>
      <c r="F392" s="46" t="b">
        <v>1</v>
      </c>
      <c r="G392" s="46" t="b">
        <v>1</v>
      </c>
      <c r="H392" s="42" t="s">
        <v>94</v>
      </c>
      <c r="I392" s="42" t="s">
        <v>128</v>
      </c>
      <c r="J392" s="21">
        <v>500</v>
      </c>
      <c r="K392" s="21">
        <v>500</v>
      </c>
      <c r="L392" s="10">
        <v>59061.86</v>
      </c>
      <c r="M392" s="10">
        <v>59061.86</v>
      </c>
    </row>
    <row r="393" spans="1:13" x14ac:dyDescent="0.25">
      <c r="A393" s="41">
        <v>202007</v>
      </c>
      <c r="B393" s="41">
        <v>47</v>
      </c>
      <c r="C393" s="42" t="s">
        <v>111</v>
      </c>
      <c r="D393" s="58">
        <v>27191294000132</v>
      </c>
      <c r="E393" s="46" t="b">
        <v>0</v>
      </c>
      <c r="F393" s="46" t="b">
        <v>1</v>
      </c>
      <c r="G393" s="46" t="b">
        <v>1</v>
      </c>
      <c r="H393" s="42" t="s">
        <v>94</v>
      </c>
      <c r="I393" s="42" t="s">
        <v>128</v>
      </c>
      <c r="J393" s="21">
        <v>1000</v>
      </c>
      <c r="K393" s="21">
        <v>1000</v>
      </c>
      <c r="L393" s="10">
        <v>118123.72</v>
      </c>
      <c r="M393" s="10">
        <v>118123.72</v>
      </c>
    </row>
    <row r="394" spans="1:13" x14ac:dyDescent="0.25">
      <c r="A394" s="41">
        <v>202007</v>
      </c>
      <c r="B394" s="41">
        <v>47</v>
      </c>
      <c r="C394" s="42" t="s">
        <v>111</v>
      </c>
      <c r="D394" s="58">
        <v>9007162000126</v>
      </c>
      <c r="E394" s="46" t="b">
        <v>0</v>
      </c>
      <c r="F394" s="46" t="b">
        <v>1</v>
      </c>
      <c r="G394" s="46" t="b">
        <v>1</v>
      </c>
      <c r="H394" s="42" t="s">
        <v>96</v>
      </c>
      <c r="I394" s="42" t="s">
        <v>129</v>
      </c>
      <c r="J394" s="21">
        <v>60</v>
      </c>
      <c r="K394" s="21">
        <v>60</v>
      </c>
      <c r="L394" s="10">
        <v>8869.2099999999991</v>
      </c>
      <c r="M394" s="10">
        <v>8869.2099999999991</v>
      </c>
    </row>
    <row r="395" spans="1:13" x14ac:dyDescent="0.25">
      <c r="A395" s="41">
        <v>202007</v>
      </c>
      <c r="B395" s="41">
        <v>45</v>
      </c>
      <c r="C395" s="42" t="s">
        <v>137</v>
      </c>
      <c r="D395" s="58">
        <v>19843929001000</v>
      </c>
      <c r="E395" s="46" t="b">
        <v>0</v>
      </c>
      <c r="F395" s="46" t="b">
        <v>0</v>
      </c>
      <c r="G395" s="46" t="b">
        <v>1</v>
      </c>
      <c r="H395" s="42" t="s">
        <v>94</v>
      </c>
      <c r="I395" s="42" t="s">
        <v>95</v>
      </c>
      <c r="J395" s="21">
        <v>33</v>
      </c>
      <c r="K395" s="21">
        <v>33</v>
      </c>
      <c r="L395" s="10">
        <v>2922.48</v>
      </c>
      <c r="M395" s="10">
        <v>2922.48</v>
      </c>
    </row>
    <row r="396" spans="1:13" x14ac:dyDescent="0.25">
      <c r="A396" s="41">
        <v>202007</v>
      </c>
      <c r="B396" s="41">
        <v>73</v>
      </c>
      <c r="C396" s="42" t="s">
        <v>141</v>
      </c>
      <c r="D396" s="58">
        <v>10942995000163</v>
      </c>
      <c r="E396" s="46" t="b">
        <v>0</v>
      </c>
      <c r="F396" s="46" t="b">
        <v>0</v>
      </c>
      <c r="G396" s="46" t="b">
        <v>1</v>
      </c>
      <c r="H396" s="42" t="s">
        <v>96</v>
      </c>
      <c r="I396" s="42" t="s">
        <v>122</v>
      </c>
      <c r="J396" s="21">
        <v>65</v>
      </c>
      <c r="K396" s="21">
        <v>260</v>
      </c>
      <c r="L396" s="10">
        <v>53131.57</v>
      </c>
      <c r="M396" s="10">
        <v>53131.57</v>
      </c>
    </row>
    <row r="397" spans="1:13" x14ac:dyDescent="0.25">
      <c r="A397" s="41">
        <v>202007</v>
      </c>
      <c r="B397" s="41">
        <v>70</v>
      </c>
      <c r="C397" s="42" t="s">
        <v>139</v>
      </c>
      <c r="D397" s="58">
        <v>16695025000197</v>
      </c>
      <c r="E397" s="46" t="b">
        <v>0</v>
      </c>
      <c r="F397" s="46" t="b">
        <v>0</v>
      </c>
      <c r="G397" s="46" t="b">
        <v>1</v>
      </c>
      <c r="H397" s="42" t="s">
        <v>94</v>
      </c>
      <c r="I397" s="42" t="s">
        <v>95</v>
      </c>
      <c r="J397" s="21">
        <v>100</v>
      </c>
      <c r="K397" s="21">
        <v>500</v>
      </c>
      <c r="L397" s="10">
        <v>99500</v>
      </c>
      <c r="M397" s="10">
        <v>99500</v>
      </c>
    </row>
    <row r="398" spans="1:13" x14ac:dyDescent="0.25">
      <c r="A398" s="41">
        <v>202007</v>
      </c>
      <c r="B398" s="41">
        <v>45</v>
      </c>
      <c r="C398" s="42" t="s">
        <v>137</v>
      </c>
      <c r="D398" s="58">
        <v>46374500000941</v>
      </c>
      <c r="E398" s="46" t="b">
        <v>0</v>
      </c>
      <c r="F398" s="46" t="b">
        <v>0</v>
      </c>
      <c r="G398" s="46" t="b">
        <v>1</v>
      </c>
      <c r="H398" s="42" t="s">
        <v>112</v>
      </c>
      <c r="I398" s="42" t="s">
        <v>134</v>
      </c>
      <c r="J398" s="21">
        <v>2400</v>
      </c>
      <c r="K398" s="21">
        <v>2400</v>
      </c>
      <c r="L398" s="10">
        <v>212400</v>
      </c>
      <c r="M398" s="10">
        <v>212400</v>
      </c>
    </row>
    <row r="399" spans="1:13" x14ac:dyDescent="0.25">
      <c r="A399" s="41">
        <v>202007</v>
      </c>
      <c r="B399" s="41">
        <v>62</v>
      </c>
      <c r="C399" s="42" t="s">
        <v>132</v>
      </c>
      <c r="D399" s="58">
        <v>394544021344</v>
      </c>
      <c r="E399" s="46" t="b">
        <v>0</v>
      </c>
      <c r="F399" s="46" t="b">
        <v>0</v>
      </c>
      <c r="G399" s="46" t="b">
        <v>1</v>
      </c>
      <c r="H399" s="42" t="s">
        <v>94</v>
      </c>
      <c r="I399" s="42" t="s">
        <v>127</v>
      </c>
      <c r="J399" s="21">
        <v>40</v>
      </c>
      <c r="K399" s="21">
        <v>40</v>
      </c>
      <c r="L399" s="10">
        <v>52373.77</v>
      </c>
      <c r="M399" s="10">
        <v>52373.77</v>
      </c>
    </row>
    <row r="400" spans="1:13" x14ac:dyDescent="0.25">
      <c r="A400" s="41">
        <v>202007</v>
      </c>
      <c r="B400" s="41">
        <v>70</v>
      </c>
      <c r="C400" s="42" t="s">
        <v>139</v>
      </c>
      <c r="D400" s="58">
        <v>61590410000124</v>
      </c>
      <c r="E400" s="46" t="b">
        <v>0</v>
      </c>
      <c r="F400" s="46" t="b">
        <v>0</v>
      </c>
      <c r="G400" s="46" t="b">
        <v>1</v>
      </c>
      <c r="H400" s="42" t="s">
        <v>112</v>
      </c>
      <c r="I400" s="42" t="s">
        <v>134</v>
      </c>
      <c r="J400" s="21">
        <v>220</v>
      </c>
      <c r="K400" s="21">
        <v>1100</v>
      </c>
      <c r="L400" s="10">
        <v>225513.5</v>
      </c>
      <c r="M400" s="10">
        <v>225513.5</v>
      </c>
    </row>
    <row r="401" spans="1:13" x14ac:dyDescent="0.25">
      <c r="A401" s="41">
        <v>202007</v>
      </c>
      <c r="B401" s="41">
        <v>73</v>
      </c>
      <c r="C401" s="42" t="s">
        <v>138</v>
      </c>
      <c r="D401" s="58">
        <v>51885242000140</v>
      </c>
      <c r="E401" s="46" t="b">
        <v>0</v>
      </c>
      <c r="F401" s="46" t="b">
        <v>0</v>
      </c>
      <c r="G401" s="46" t="b">
        <v>1</v>
      </c>
      <c r="H401" s="42" t="s">
        <v>112</v>
      </c>
      <c r="I401" s="42" t="s">
        <v>98</v>
      </c>
      <c r="J401" s="21">
        <v>80</v>
      </c>
      <c r="K401" s="21">
        <v>160</v>
      </c>
      <c r="L401" s="10">
        <v>25000.16</v>
      </c>
      <c r="M401" s="10">
        <v>25000.16</v>
      </c>
    </row>
    <row r="402" spans="1:13" x14ac:dyDescent="0.25">
      <c r="A402" s="41">
        <v>202007</v>
      </c>
      <c r="B402" s="41">
        <v>62</v>
      </c>
      <c r="C402" s="42" t="s">
        <v>132</v>
      </c>
      <c r="D402" s="58">
        <v>12474705000120</v>
      </c>
      <c r="E402" s="46" t="b">
        <v>0</v>
      </c>
      <c r="F402" s="46" t="b">
        <v>0</v>
      </c>
      <c r="G402" s="46" t="b">
        <v>1</v>
      </c>
      <c r="H402" s="42" t="s">
        <v>112</v>
      </c>
      <c r="I402" s="42" t="s">
        <v>115</v>
      </c>
      <c r="J402" s="21">
        <v>4</v>
      </c>
      <c r="K402" s="21">
        <v>4</v>
      </c>
      <c r="L402" s="10">
        <v>5752.36</v>
      </c>
      <c r="M402" s="10">
        <v>5752.36</v>
      </c>
    </row>
    <row r="403" spans="1:13" x14ac:dyDescent="0.25">
      <c r="A403" s="41">
        <v>202007</v>
      </c>
      <c r="B403" s="41">
        <v>73</v>
      </c>
      <c r="C403" s="42" t="s">
        <v>135</v>
      </c>
      <c r="D403" s="58">
        <v>57722118000302</v>
      </c>
      <c r="E403" s="46" t="b">
        <v>0</v>
      </c>
      <c r="F403" s="46" t="b">
        <v>0</v>
      </c>
      <c r="G403" s="46" t="b">
        <v>1</v>
      </c>
      <c r="H403" s="42" t="s">
        <v>112</v>
      </c>
      <c r="I403" s="42" t="s">
        <v>115</v>
      </c>
      <c r="J403" s="21">
        <v>60</v>
      </c>
      <c r="K403" s="21">
        <v>60</v>
      </c>
      <c r="L403" s="10">
        <v>12261</v>
      </c>
      <c r="M403" s="10">
        <v>12261</v>
      </c>
    </row>
    <row r="404" spans="1:13" x14ac:dyDescent="0.25">
      <c r="A404" s="41">
        <v>202007</v>
      </c>
      <c r="B404" s="41">
        <v>45</v>
      </c>
      <c r="C404" s="42" t="s">
        <v>137</v>
      </c>
      <c r="D404" s="58">
        <v>9053134000226</v>
      </c>
      <c r="E404" s="46" t="b">
        <v>0</v>
      </c>
      <c r="F404" s="46" t="b">
        <v>1</v>
      </c>
      <c r="G404" s="46" t="b">
        <v>1</v>
      </c>
      <c r="H404" s="42" t="s">
        <v>96</v>
      </c>
      <c r="I404" s="42" t="s">
        <v>129</v>
      </c>
      <c r="J404" s="21">
        <v>200</v>
      </c>
      <c r="K404" s="21">
        <v>200</v>
      </c>
      <c r="L404" s="10">
        <v>18036.88</v>
      </c>
      <c r="M404" s="10">
        <v>18036.88</v>
      </c>
    </row>
    <row r="405" spans="1:13" x14ac:dyDescent="0.25">
      <c r="A405" s="41">
        <v>202007</v>
      </c>
      <c r="B405" s="41">
        <v>66</v>
      </c>
      <c r="C405" s="42" t="s">
        <v>43</v>
      </c>
      <c r="D405" s="58">
        <v>74031865000151</v>
      </c>
      <c r="E405" s="46" t="b">
        <v>0</v>
      </c>
      <c r="F405" s="46" t="b">
        <v>0</v>
      </c>
      <c r="G405" s="46" t="b">
        <v>1</v>
      </c>
      <c r="H405" s="42" t="s">
        <v>96</v>
      </c>
      <c r="I405" s="42" t="s">
        <v>117</v>
      </c>
      <c r="J405" s="21">
        <v>128</v>
      </c>
      <c r="K405" s="21">
        <v>128</v>
      </c>
      <c r="L405" s="10">
        <v>176861.44</v>
      </c>
      <c r="M405" s="10">
        <v>176861.44</v>
      </c>
    </row>
    <row r="406" spans="1:13" x14ac:dyDescent="0.25">
      <c r="A406" s="41">
        <v>202007</v>
      </c>
      <c r="B406" s="41">
        <v>45</v>
      </c>
      <c r="C406" s="42" t="s">
        <v>137</v>
      </c>
      <c r="D406" s="58">
        <v>19843929001000</v>
      </c>
      <c r="E406" s="46" t="b">
        <v>0</v>
      </c>
      <c r="F406" s="46" t="b">
        <v>0</v>
      </c>
      <c r="G406" s="46" t="b">
        <v>1</v>
      </c>
      <c r="H406" s="42" t="s">
        <v>94</v>
      </c>
      <c r="I406" s="42" t="s">
        <v>95</v>
      </c>
      <c r="J406" s="21">
        <v>49</v>
      </c>
      <c r="K406" s="21">
        <v>49</v>
      </c>
      <c r="L406" s="10">
        <v>4339.4399999999996</v>
      </c>
      <c r="M406" s="10">
        <v>4339.4399999999996</v>
      </c>
    </row>
    <row r="407" spans="1:13" x14ac:dyDescent="0.25">
      <c r="A407" s="41">
        <v>202007</v>
      </c>
      <c r="B407" s="41">
        <v>47</v>
      </c>
      <c r="C407" s="42" t="s">
        <v>111</v>
      </c>
      <c r="D407" s="58">
        <v>7954571001429</v>
      </c>
      <c r="E407" s="46" t="b">
        <v>0</v>
      </c>
      <c r="F407" s="46" t="b">
        <v>0</v>
      </c>
      <c r="G407" s="46" t="b">
        <v>1</v>
      </c>
      <c r="H407" s="42" t="s">
        <v>96</v>
      </c>
      <c r="I407" s="42" t="s">
        <v>117</v>
      </c>
      <c r="J407" s="21">
        <v>20</v>
      </c>
      <c r="K407" s="21">
        <v>20</v>
      </c>
      <c r="L407" s="10">
        <v>2804.4</v>
      </c>
      <c r="M407" s="10">
        <v>2804.4</v>
      </c>
    </row>
    <row r="408" spans="1:13" x14ac:dyDescent="0.25">
      <c r="A408" s="41">
        <v>202007</v>
      </c>
      <c r="B408" s="41">
        <v>45</v>
      </c>
      <c r="C408" s="42" t="s">
        <v>137</v>
      </c>
      <c r="D408" s="58">
        <v>19843929001506</v>
      </c>
      <c r="E408" s="46" t="b">
        <v>0</v>
      </c>
      <c r="F408" s="46" t="b">
        <v>0</v>
      </c>
      <c r="G408" s="46" t="b">
        <v>1</v>
      </c>
      <c r="H408" s="42" t="s">
        <v>94</v>
      </c>
      <c r="I408" s="42" t="s">
        <v>95</v>
      </c>
      <c r="J408" s="21">
        <v>-36</v>
      </c>
      <c r="K408" s="21">
        <v>-36</v>
      </c>
      <c r="L408" s="10">
        <v>-3188.16</v>
      </c>
      <c r="M408" s="10">
        <v>-3188.16</v>
      </c>
    </row>
    <row r="409" spans="1:13" x14ac:dyDescent="0.25">
      <c r="A409" s="41">
        <v>202007</v>
      </c>
      <c r="B409" s="41">
        <v>70</v>
      </c>
      <c r="C409" s="42" t="s">
        <v>139</v>
      </c>
      <c r="D409" s="58">
        <v>19843929001506</v>
      </c>
      <c r="E409" s="46" t="b">
        <v>0</v>
      </c>
      <c r="F409" s="46" t="b">
        <v>0</v>
      </c>
      <c r="G409" s="46" t="b">
        <v>1</v>
      </c>
      <c r="H409" s="42" t="s">
        <v>94</v>
      </c>
      <c r="I409" s="42" t="s">
        <v>95</v>
      </c>
      <c r="J409" s="21">
        <v>-91</v>
      </c>
      <c r="K409" s="21">
        <v>-455</v>
      </c>
      <c r="L409" s="10">
        <v>-90545</v>
      </c>
      <c r="M409" s="10">
        <v>-90545</v>
      </c>
    </row>
    <row r="410" spans="1:13" x14ac:dyDescent="0.25">
      <c r="A410" s="41">
        <v>202007</v>
      </c>
      <c r="B410" s="41">
        <v>45</v>
      </c>
      <c r="C410" s="42" t="s">
        <v>137</v>
      </c>
      <c r="D410" s="58">
        <v>19843929001506</v>
      </c>
      <c r="E410" s="46" t="b">
        <v>0</v>
      </c>
      <c r="F410" s="46" t="b">
        <v>0</v>
      </c>
      <c r="G410" s="46" t="b">
        <v>1</v>
      </c>
      <c r="H410" s="42" t="s">
        <v>94</v>
      </c>
      <c r="I410" s="42" t="s">
        <v>95</v>
      </c>
      <c r="J410" s="21">
        <v>36</v>
      </c>
      <c r="K410" s="21">
        <v>36</v>
      </c>
      <c r="L410" s="10">
        <v>3888</v>
      </c>
      <c r="M410" s="10">
        <v>3888</v>
      </c>
    </row>
    <row r="411" spans="1:13" x14ac:dyDescent="0.25">
      <c r="A411" s="41">
        <v>202007</v>
      </c>
      <c r="B411" s="41">
        <v>70</v>
      </c>
      <c r="C411" s="42" t="s">
        <v>139</v>
      </c>
      <c r="D411" s="58">
        <v>19843929001506</v>
      </c>
      <c r="E411" s="46" t="b">
        <v>0</v>
      </c>
      <c r="F411" s="46" t="b">
        <v>0</v>
      </c>
      <c r="G411" s="46" t="b">
        <v>1</v>
      </c>
      <c r="H411" s="42" t="s">
        <v>94</v>
      </c>
      <c r="I411" s="42" t="s">
        <v>95</v>
      </c>
      <c r="J411" s="21">
        <v>91</v>
      </c>
      <c r="K411" s="21">
        <v>455</v>
      </c>
      <c r="L411" s="10">
        <v>90545</v>
      </c>
      <c r="M411" s="10">
        <v>90545</v>
      </c>
    </row>
    <row r="412" spans="1:13" x14ac:dyDescent="0.25">
      <c r="A412" s="41">
        <v>202007</v>
      </c>
      <c r="B412" s="41">
        <v>47</v>
      </c>
      <c r="C412" s="42" t="s">
        <v>111</v>
      </c>
      <c r="D412" s="58">
        <v>4995603000121</v>
      </c>
      <c r="E412" s="46" t="b">
        <v>0</v>
      </c>
      <c r="F412" s="46" t="b">
        <v>0</v>
      </c>
      <c r="G412" s="46" t="b">
        <v>1</v>
      </c>
      <c r="H412" s="42" t="s">
        <v>112</v>
      </c>
      <c r="I412" s="42" t="s">
        <v>113</v>
      </c>
      <c r="J412" s="21">
        <v>-4</v>
      </c>
      <c r="K412" s="21">
        <v>-4</v>
      </c>
      <c r="L412" s="10">
        <v>-606.79999999999995</v>
      </c>
      <c r="M412" s="10">
        <v>-606.79999999999995</v>
      </c>
    </row>
    <row r="413" spans="1:13" x14ac:dyDescent="0.25">
      <c r="A413" s="41">
        <v>202007</v>
      </c>
      <c r="B413" s="41">
        <v>47</v>
      </c>
      <c r="C413" s="42" t="s">
        <v>111</v>
      </c>
      <c r="D413" s="58">
        <v>4995603000121</v>
      </c>
      <c r="E413" s="46" t="b">
        <v>0</v>
      </c>
      <c r="F413" s="46" t="b">
        <v>0</v>
      </c>
      <c r="G413" s="46" t="b">
        <v>1</v>
      </c>
      <c r="H413" s="42" t="s">
        <v>112</v>
      </c>
      <c r="I413" s="42" t="s">
        <v>113</v>
      </c>
      <c r="J413" s="21">
        <v>-7</v>
      </c>
      <c r="K413" s="21">
        <v>-7</v>
      </c>
      <c r="L413" s="10">
        <v>-1061.9000000000001</v>
      </c>
      <c r="M413" s="10">
        <v>-1061.9000000000001</v>
      </c>
    </row>
    <row r="414" spans="1:13" x14ac:dyDescent="0.25">
      <c r="A414" s="41">
        <v>202007</v>
      </c>
      <c r="B414" s="41">
        <v>47</v>
      </c>
      <c r="C414" s="42" t="s">
        <v>111</v>
      </c>
      <c r="D414" s="58">
        <v>4995603000121</v>
      </c>
      <c r="E414" s="46" t="b">
        <v>0</v>
      </c>
      <c r="F414" s="46" t="b">
        <v>0</v>
      </c>
      <c r="G414" s="46" t="b">
        <v>1</v>
      </c>
      <c r="H414" s="42" t="s">
        <v>112</v>
      </c>
      <c r="I414" s="42" t="s">
        <v>113</v>
      </c>
      <c r="J414" s="21">
        <v>-10</v>
      </c>
      <c r="K414" s="21">
        <v>-10</v>
      </c>
      <c r="L414" s="10">
        <v>-1517</v>
      </c>
      <c r="M414" s="10">
        <v>-1517</v>
      </c>
    </row>
    <row r="415" spans="1:13" x14ac:dyDescent="0.25">
      <c r="A415" s="41">
        <v>202007</v>
      </c>
      <c r="B415" s="41">
        <v>70</v>
      </c>
      <c r="C415" s="42" t="s">
        <v>139</v>
      </c>
      <c r="D415" s="58">
        <v>4995603000121</v>
      </c>
      <c r="E415" s="46" t="b">
        <v>0</v>
      </c>
      <c r="F415" s="46" t="b">
        <v>0</v>
      </c>
      <c r="G415" s="46" t="b">
        <v>1</v>
      </c>
      <c r="H415" s="42" t="s">
        <v>112</v>
      </c>
      <c r="I415" s="42" t="s">
        <v>113</v>
      </c>
      <c r="J415" s="21">
        <v>-10</v>
      </c>
      <c r="K415" s="21">
        <v>-50</v>
      </c>
      <c r="L415" s="10">
        <v>-9785.7000000000007</v>
      </c>
      <c r="M415" s="10">
        <v>-9785.7000000000007</v>
      </c>
    </row>
    <row r="416" spans="1:13" x14ac:dyDescent="0.25">
      <c r="A416" s="41">
        <v>202007</v>
      </c>
      <c r="B416" s="41">
        <v>70</v>
      </c>
      <c r="C416" s="42" t="s">
        <v>139</v>
      </c>
      <c r="D416" s="58">
        <v>4995603000121</v>
      </c>
      <c r="E416" s="46" t="b">
        <v>0</v>
      </c>
      <c r="F416" s="46" t="b">
        <v>0</v>
      </c>
      <c r="G416" s="46" t="b">
        <v>1</v>
      </c>
      <c r="H416" s="42" t="s">
        <v>112</v>
      </c>
      <c r="I416" s="42" t="s">
        <v>113</v>
      </c>
      <c r="J416" s="21">
        <v>-5</v>
      </c>
      <c r="K416" s="21">
        <v>-25</v>
      </c>
      <c r="L416" s="10">
        <v>-4892.8500000000004</v>
      </c>
      <c r="M416" s="10">
        <v>-4892.8500000000004</v>
      </c>
    </row>
    <row r="417" spans="1:13" x14ac:dyDescent="0.25">
      <c r="A417" s="41">
        <v>202007</v>
      </c>
      <c r="B417" s="41">
        <v>47</v>
      </c>
      <c r="C417" s="42" t="s">
        <v>111</v>
      </c>
      <c r="D417" s="58">
        <v>4995603000121</v>
      </c>
      <c r="E417" s="46" t="b">
        <v>0</v>
      </c>
      <c r="F417" s="46" t="b">
        <v>0</v>
      </c>
      <c r="G417" s="46" t="b">
        <v>1</v>
      </c>
      <c r="H417" s="42" t="s">
        <v>112</v>
      </c>
      <c r="I417" s="42" t="s">
        <v>113</v>
      </c>
      <c r="J417" s="21">
        <v>-30</v>
      </c>
      <c r="K417" s="21">
        <v>-30</v>
      </c>
      <c r="L417" s="10">
        <v>-4551</v>
      </c>
      <c r="M417" s="10">
        <v>-4551</v>
      </c>
    </row>
    <row r="418" spans="1:13" x14ac:dyDescent="0.25">
      <c r="A418" s="41">
        <v>202007</v>
      </c>
      <c r="B418" s="41">
        <v>47</v>
      </c>
      <c r="C418" s="42" t="s">
        <v>111</v>
      </c>
      <c r="D418" s="58">
        <v>4995603000121</v>
      </c>
      <c r="E418" s="46" t="b">
        <v>0</v>
      </c>
      <c r="F418" s="46" t="b">
        <v>0</v>
      </c>
      <c r="G418" s="46" t="b">
        <v>1</v>
      </c>
      <c r="H418" s="42" t="s">
        <v>112</v>
      </c>
      <c r="I418" s="42" t="s">
        <v>113</v>
      </c>
      <c r="J418" s="21">
        <v>-30</v>
      </c>
      <c r="K418" s="21">
        <v>-30</v>
      </c>
      <c r="L418" s="10">
        <v>-4551</v>
      </c>
      <c r="M418" s="10">
        <v>-4551</v>
      </c>
    </row>
    <row r="419" spans="1:13" x14ac:dyDescent="0.25">
      <c r="A419" s="41">
        <v>202007</v>
      </c>
      <c r="B419" s="41">
        <v>47</v>
      </c>
      <c r="C419" s="42" t="s">
        <v>111</v>
      </c>
      <c r="D419" s="58">
        <v>4995603000121</v>
      </c>
      <c r="E419" s="46" t="b">
        <v>0</v>
      </c>
      <c r="F419" s="46" t="b">
        <v>0</v>
      </c>
      <c r="G419" s="46" t="b">
        <v>1</v>
      </c>
      <c r="H419" s="42" t="s">
        <v>112</v>
      </c>
      <c r="I419" s="42" t="s">
        <v>113</v>
      </c>
      <c r="J419" s="21">
        <v>-30</v>
      </c>
      <c r="K419" s="21">
        <v>-30</v>
      </c>
      <c r="L419" s="10">
        <v>-4551</v>
      </c>
      <c r="M419" s="10">
        <v>-4551</v>
      </c>
    </row>
    <row r="420" spans="1:13" x14ac:dyDescent="0.25">
      <c r="A420" s="41">
        <v>202007</v>
      </c>
      <c r="B420" s="41">
        <v>47</v>
      </c>
      <c r="C420" s="42" t="s">
        <v>111</v>
      </c>
      <c r="D420" s="58">
        <v>4995603000121</v>
      </c>
      <c r="E420" s="46" t="b">
        <v>0</v>
      </c>
      <c r="F420" s="46" t="b">
        <v>0</v>
      </c>
      <c r="G420" s="46" t="b">
        <v>1</v>
      </c>
      <c r="H420" s="42" t="s">
        <v>112</v>
      </c>
      <c r="I420" s="42" t="s">
        <v>113</v>
      </c>
      <c r="J420" s="21">
        <v>-25</v>
      </c>
      <c r="K420" s="21">
        <v>-25</v>
      </c>
      <c r="L420" s="10">
        <v>-3792.5</v>
      </c>
      <c r="M420" s="10">
        <v>-3792.5</v>
      </c>
    </row>
    <row r="421" spans="1:13" x14ac:dyDescent="0.25">
      <c r="A421" s="41">
        <v>202007</v>
      </c>
      <c r="B421" s="41">
        <v>47</v>
      </c>
      <c r="C421" s="42" t="s">
        <v>111</v>
      </c>
      <c r="D421" s="58">
        <v>4995603000121</v>
      </c>
      <c r="E421" s="46" t="b">
        <v>0</v>
      </c>
      <c r="F421" s="46" t="b">
        <v>0</v>
      </c>
      <c r="G421" s="46" t="b">
        <v>1</v>
      </c>
      <c r="H421" s="42" t="s">
        <v>112</v>
      </c>
      <c r="I421" s="42" t="s">
        <v>113</v>
      </c>
      <c r="J421" s="21">
        <v>-14</v>
      </c>
      <c r="K421" s="21">
        <v>-14</v>
      </c>
      <c r="L421" s="10">
        <v>-2123.8000000000002</v>
      </c>
      <c r="M421" s="10">
        <v>-2123.8000000000002</v>
      </c>
    </row>
    <row r="422" spans="1:13" x14ac:dyDescent="0.25">
      <c r="A422" s="41">
        <v>202007</v>
      </c>
      <c r="B422" s="41">
        <v>70</v>
      </c>
      <c r="C422" s="42" t="s">
        <v>139</v>
      </c>
      <c r="D422" s="58">
        <v>4995603000121</v>
      </c>
      <c r="E422" s="46" t="b">
        <v>0</v>
      </c>
      <c r="F422" s="46" t="b">
        <v>0</v>
      </c>
      <c r="G422" s="46" t="b">
        <v>1</v>
      </c>
      <c r="H422" s="42" t="s">
        <v>112</v>
      </c>
      <c r="I422" s="42" t="s">
        <v>113</v>
      </c>
      <c r="J422" s="21">
        <v>-10</v>
      </c>
      <c r="K422" s="21">
        <v>-50</v>
      </c>
      <c r="L422" s="10">
        <v>-9785.7000000000007</v>
      </c>
      <c r="M422" s="10">
        <v>-9785.7000000000007</v>
      </c>
    </row>
    <row r="423" spans="1:13" x14ac:dyDescent="0.25">
      <c r="A423" s="41">
        <v>202007</v>
      </c>
      <c r="B423" s="41">
        <v>70</v>
      </c>
      <c r="C423" s="42" t="s">
        <v>139</v>
      </c>
      <c r="D423" s="58">
        <v>4995603000121</v>
      </c>
      <c r="E423" s="46" t="b">
        <v>0</v>
      </c>
      <c r="F423" s="46" t="b">
        <v>0</v>
      </c>
      <c r="G423" s="46" t="b">
        <v>1</v>
      </c>
      <c r="H423" s="42" t="s">
        <v>112</v>
      </c>
      <c r="I423" s="42" t="s">
        <v>113</v>
      </c>
      <c r="J423" s="21">
        <v>-10</v>
      </c>
      <c r="K423" s="21">
        <v>-50</v>
      </c>
      <c r="L423" s="10">
        <v>-9785.7000000000007</v>
      </c>
      <c r="M423" s="10">
        <v>-9785.7000000000007</v>
      </c>
    </row>
    <row r="424" spans="1:13" x14ac:dyDescent="0.25">
      <c r="A424" s="41">
        <v>202007</v>
      </c>
      <c r="B424" s="41">
        <v>70</v>
      </c>
      <c r="C424" s="42" t="s">
        <v>139</v>
      </c>
      <c r="D424" s="58">
        <v>4995603000121</v>
      </c>
      <c r="E424" s="46" t="b">
        <v>0</v>
      </c>
      <c r="F424" s="46" t="b">
        <v>0</v>
      </c>
      <c r="G424" s="46" t="b">
        <v>1</v>
      </c>
      <c r="H424" s="42" t="s">
        <v>112</v>
      </c>
      <c r="I424" s="42" t="s">
        <v>113</v>
      </c>
      <c r="J424" s="21">
        <v>-10</v>
      </c>
      <c r="K424" s="21">
        <v>-50</v>
      </c>
      <c r="L424" s="10">
        <v>-9785.7000000000007</v>
      </c>
      <c r="M424" s="10">
        <v>-9785.7000000000007</v>
      </c>
    </row>
    <row r="425" spans="1:13" x14ac:dyDescent="0.25">
      <c r="A425" s="41">
        <v>202007</v>
      </c>
      <c r="B425" s="41">
        <v>70</v>
      </c>
      <c r="C425" s="42" t="s">
        <v>139</v>
      </c>
      <c r="D425" s="58">
        <v>4995603000121</v>
      </c>
      <c r="E425" s="46" t="b">
        <v>0</v>
      </c>
      <c r="F425" s="46" t="b">
        <v>0</v>
      </c>
      <c r="G425" s="46" t="b">
        <v>1</v>
      </c>
      <c r="H425" s="42" t="s">
        <v>112</v>
      </c>
      <c r="I425" s="42" t="s">
        <v>113</v>
      </c>
      <c r="J425" s="21">
        <v>-10</v>
      </c>
      <c r="K425" s="21">
        <v>-50</v>
      </c>
      <c r="L425" s="10">
        <v>-9785.7000000000007</v>
      </c>
      <c r="M425" s="10">
        <v>-9785.7000000000007</v>
      </c>
    </row>
    <row r="426" spans="1:13" x14ac:dyDescent="0.25">
      <c r="A426" s="41">
        <v>202007</v>
      </c>
      <c r="B426" s="41">
        <v>70</v>
      </c>
      <c r="C426" s="42" t="s">
        <v>139</v>
      </c>
      <c r="D426" s="58">
        <v>4995603000121</v>
      </c>
      <c r="E426" s="46" t="b">
        <v>0</v>
      </c>
      <c r="F426" s="46" t="b">
        <v>0</v>
      </c>
      <c r="G426" s="46" t="b">
        <v>1</v>
      </c>
      <c r="H426" s="42" t="s">
        <v>112</v>
      </c>
      <c r="I426" s="42" t="s">
        <v>113</v>
      </c>
      <c r="J426" s="21">
        <v>-5</v>
      </c>
      <c r="K426" s="21">
        <v>-25</v>
      </c>
      <c r="L426" s="10">
        <v>-4892.8500000000004</v>
      </c>
      <c r="M426" s="10">
        <v>-4892.8500000000004</v>
      </c>
    </row>
    <row r="427" spans="1:13" x14ac:dyDescent="0.25">
      <c r="A427" s="41">
        <v>202007</v>
      </c>
      <c r="B427" s="41">
        <v>70</v>
      </c>
      <c r="C427" s="42" t="s">
        <v>139</v>
      </c>
      <c r="D427" s="58">
        <v>4995603000121</v>
      </c>
      <c r="E427" s="46" t="b">
        <v>0</v>
      </c>
      <c r="F427" s="46" t="b">
        <v>0</v>
      </c>
      <c r="G427" s="46" t="b">
        <v>1</v>
      </c>
      <c r="H427" s="42" t="s">
        <v>112</v>
      </c>
      <c r="I427" s="42" t="s">
        <v>113</v>
      </c>
      <c r="J427" s="21">
        <v>-5</v>
      </c>
      <c r="K427" s="21">
        <v>-25</v>
      </c>
      <c r="L427" s="10">
        <v>-4892.8500000000004</v>
      </c>
      <c r="M427" s="10">
        <v>-4892.8500000000004</v>
      </c>
    </row>
    <row r="428" spans="1:13" x14ac:dyDescent="0.25">
      <c r="A428" s="41">
        <v>202007</v>
      </c>
      <c r="B428" s="41">
        <v>70</v>
      </c>
      <c r="C428" s="42" t="s">
        <v>139</v>
      </c>
      <c r="D428" s="58">
        <v>4995603000121</v>
      </c>
      <c r="E428" s="46" t="b">
        <v>0</v>
      </c>
      <c r="F428" s="46" t="b">
        <v>0</v>
      </c>
      <c r="G428" s="46" t="b">
        <v>1</v>
      </c>
      <c r="H428" s="42" t="s">
        <v>112</v>
      </c>
      <c r="I428" s="42" t="s">
        <v>113</v>
      </c>
      <c r="J428" s="21">
        <v>-5</v>
      </c>
      <c r="K428" s="21">
        <v>-25</v>
      </c>
      <c r="L428" s="10">
        <v>-4892.8500000000004</v>
      </c>
      <c r="M428" s="10">
        <v>-4892.8500000000004</v>
      </c>
    </row>
    <row r="429" spans="1:13" x14ac:dyDescent="0.25">
      <c r="A429" s="41">
        <v>202007</v>
      </c>
      <c r="B429" s="41">
        <v>47</v>
      </c>
      <c r="C429" s="42" t="s">
        <v>111</v>
      </c>
      <c r="D429" s="58">
        <v>81887838000736</v>
      </c>
      <c r="E429" s="46" t="b">
        <v>0</v>
      </c>
      <c r="F429" s="46" t="b">
        <v>1</v>
      </c>
      <c r="G429" s="46" t="b">
        <v>1</v>
      </c>
      <c r="H429" s="42" t="s">
        <v>112</v>
      </c>
      <c r="I429" s="42" t="s">
        <v>120</v>
      </c>
      <c r="J429" s="21">
        <v>-7</v>
      </c>
      <c r="K429" s="21">
        <v>-7</v>
      </c>
      <c r="L429" s="10">
        <v>-779.04</v>
      </c>
      <c r="M429" s="10">
        <v>-779.04</v>
      </c>
    </row>
    <row r="430" spans="1:13" x14ac:dyDescent="0.25">
      <c r="A430" s="41">
        <v>202007</v>
      </c>
      <c r="B430" s="41">
        <v>45</v>
      </c>
      <c r="C430" s="42" t="s">
        <v>137</v>
      </c>
      <c r="D430" s="58">
        <v>19843929001506</v>
      </c>
      <c r="E430" s="46" t="b">
        <v>0</v>
      </c>
      <c r="F430" s="46" t="b">
        <v>0</v>
      </c>
      <c r="G430" s="46" t="b">
        <v>1</v>
      </c>
      <c r="H430" s="42" t="s">
        <v>94</v>
      </c>
      <c r="I430" s="42" t="s">
        <v>95</v>
      </c>
      <c r="J430" s="21">
        <v>-36</v>
      </c>
      <c r="K430" s="21">
        <v>-36</v>
      </c>
      <c r="L430" s="10">
        <v>-3888</v>
      </c>
      <c r="M430" s="10">
        <v>-3888</v>
      </c>
    </row>
    <row r="431" spans="1:13" x14ac:dyDescent="0.25">
      <c r="A431" s="41">
        <v>202007</v>
      </c>
      <c r="B431" s="41">
        <v>70</v>
      </c>
      <c r="C431" s="42" t="s">
        <v>139</v>
      </c>
      <c r="D431" s="58">
        <v>19843929001506</v>
      </c>
      <c r="E431" s="46" t="b">
        <v>0</v>
      </c>
      <c r="F431" s="46" t="b">
        <v>0</v>
      </c>
      <c r="G431" s="46" t="b">
        <v>1</v>
      </c>
      <c r="H431" s="42" t="s">
        <v>94</v>
      </c>
      <c r="I431" s="42" t="s">
        <v>95</v>
      </c>
      <c r="J431" s="21">
        <v>-91</v>
      </c>
      <c r="K431" s="21">
        <v>-455</v>
      </c>
      <c r="L431" s="10">
        <v>-90545</v>
      </c>
      <c r="M431" s="10">
        <v>-90545</v>
      </c>
    </row>
    <row r="432" spans="1:13" x14ac:dyDescent="0.25">
      <c r="A432" s="41">
        <v>202007</v>
      </c>
      <c r="B432" s="41">
        <v>45</v>
      </c>
      <c r="C432" s="42" t="s">
        <v>137</v>
      </c>
      <c r="D432" s="58">
        <v>19843929001506</v>
      </c>
      <c r="E432" s="46" t="b">
        <v>0</v>
      </c>
      <c r="F432" s="46" t="b">
        <v>0</v>
      </c>
      <c r="G432" s="46" t="b">
        <v>1</v>
      </c>
      <c r="H432" s="42" t="s">
        <v>94</v>
      </c>
      <c r="I432" s="42" t="s">
        <v>95</v>
      </c>
      <c r="J432" s="21">
        <v>0</v>
      </c>
      <c r="K432" s="21">
        <v>0</v>
      </c>
      <c r="L432" s="10">
        <v>-699.84</v>
      </c>
      <c r="M432" s="10">
        <v>-699.84</v>
      </c>
    </row>
    <row r="433" spans="1:13" x14ac:dyDescent="0.25">
      <c r="A433" s="41">
        <v>202007</v>
      </c>
      <c r="B433" s="41">
        <v>64</v>
      </c>
      <c r="C433" s="42" t="s">
        <v>133</v>
      </c>
      <c r="D433" s="58">
        <v>15126437000224</v>
      </c>
      <c r="E433" s="46" t="b">
        <v>0</v>
      </c>
      <c r="F433" s="46" t="b">
        <v>0</v>
      </c>
      <c r="G433" s="46" t="b">
        <v>1</v>
      </c>
      <c r="H433" s="42" t="s">
        <v>96</v>
      </c>
      <c r="I433" s="42" t="s">
        <v>117</v>
      </c>
      <c r="J433" s="21">
        <v>0</v>
      </c>
      <c r="K433" s="21">
        <v>0</v>
      </c>
      <c r="L433" s="10">
        <v>-4995</v>
      </c>
      <c r="M433" s="10">
        <v>-4995</v>
      </c>
    </row>
    <row r="434" spans="1:13" x14ac:dyDescent="0.25">
      <c r="A434" s="41">
        <v>202007</v>
      </c>
      <c r="B434" s="41">
        <v>64</v>
      </c>
      <c r="C434" s="42" t="s">
        <v>133</v>
      </c>
      <c r="D434" s="58">
        <v>15126437000224</v>
      </c>
      <c r="E434" s="46" t="b">
        <v>0</v>
      </c>
      <c r="F434" s="46" t="b">
        <v>0</v>
      </c>
      <c r="G434" s="46" t="b">
        <v>1</v>
      </c>
      <c r="H434" s="42" t="s">
        <v>96</v>
      </c>
      <c r="I434" s="42" t="s">
        <v>117</v>
      </c>
      <c r="J434" s="21">
        <v>30</v>
      </c>
      <c r="K434" s="21">
        <v>30</v>
      </c>
      <c r="L434" s="10">
        <v>27750</v>
      </c>
      <c r="M434" s="10">
        <v>27750</v>
      </c>
    </row>
    <row r="435" spans="1:13" x14ac:dyDescent="0.25">
      <c r="A435" s="41">
        <v>202007</v>
      </c>
      <c r="B435" s="41">
        <v>70</v>
      </c>
      <c r="C435" s="42" t="s">
        <v>139</v>
      </c>
      <c r="D435" s="58">
        <v>19843929001506</v>
      </c>
      <c r="E435" s="46" t="b">
        <v>0</v>
      </c>
      <c r="F435" s="46" t="b">
        <v>0</v>
      </c>
      <c r="G435" s="46" t="b">
        <v>1</v>
      </c>
      <c r="H435" s="42" t="s">
        <v>94</v>
      </c>
      <c r="I435" s="42" t="s">
        <v>95</v>
      </c>
      <c r="J435" s="21">
        <v>91</v>
      </c>
      <c r="K435" s="21">
        <v>455</v>
      </c>
      <c r="L435" s="10">
        <v>90545</v>
      </c>
      <c r="M435" s="10">
        <v>90545</v>
      </c>
    </row>
    <row r="436" spans="1:13" x14ac:dyDescent="0.25">
      <c r="A436" s="41">
        <v>202007</v>
      </c>
      <c r="B436" s="41">
        <v>45</v>
      </c>
      <c r="C436" s="42" t="s">
        <v>137</v>
      </c>
      <c r="D436" s="58">
        <v>19843929001506</v>
      </c>
      <c r="E436" s="46" t="b">
        <v>0</v>
      </c>
      <c r="F436" s="46" t="b">
        <v>0</v>
      </c>
      <c r="G436" s="46" t="b">
        <v>1</v>
      </c>
      <c r="H436" s="42" t="s">
        <v>94</v>
      </c>
      <c r="I436" s="42" t="s">
        <v>95</v>
      </c>
      <c r="J436" s="21">
        <v>36</v>
      </c>
      <c r="K436" s="21">
        <v>36</v>
      </c>
      <c r="L436" s="10">
        <v>3888</v>
      </c>
      <c r="M436" s="10">
        <v>3888</v>
      </c>
    </row>
    <row r="437" spans="1:13" x14ac:dyDescent="0.25">
      <c r="A437" s="41">
        <v>202007</v>
      </c>
      <c r="B437" s="41">
        <v>45</v>
      </c>
      <c r="C437" s="42" t="s">
        <v>137</v>
      </c>
      <c r="D437" s="58">
        <v>4708424000166</v>
      </c>
      <c r="E437" s="46" t="b">
        <v>1</v>
      </c>
      <c r="F437" s="46" t="b">
        <v>0</v>
      </c>
      <c r="G437" s="46" t="b">
        <v>1</v>
      </c>
      <c r="H437" s="42" t="s">
        <v>142</v>
      </c>
      <c r="I437" s="42" t="s">
        <v>143</v>
      </c>
      <c r="J437" s="21">
        <v>1</v>
      </c>
      <c r="K437" s="21">
        <v>1</v>
      </c>
      <c r="L437" s="10">
        <v>-14.7</v>
      </c>
      <c r="M437" s="10">
        <v>0</v>
      </c>
    </row>
    <row r="438" spans="1:13" x14ac:dyDescent="0.25">
      <c r="A438" s="41">
        <v>202007</v>
      </c>
      <c r="B438" s="41">
        <v>47</v>
      </c>
      <c r="C438" s="42" t="s">
        <v>111</v>
      </c>
      <c r="D438" s="58">
        <v>4708424000166</v>
      </c>
      <c r="E438" s="46" t="b">
        <v>1</v>
      </c>
      <c r="F438" s="46" t="b">
        <v>0</v>
      </c>
      <c r="G438" s="46" t="b">
        <v>1</v>
      </c>
      <c r="H438" s="42" t="s">
        <v>142</v>
      </c>
      <c r="I438" s="42" t="s">
        <v>143</v>
      </c>
      <c r="J438" s="21">
        <v>1</v>
      </c>
      <c r="K438" s="21">
        <v>1</v>
      </c>
      <c r="L438" s="10">
        <v>-21.79</v>
      </c>
      <c r="M438" s="10">
        <v>0</v>
      </c>
    </row>
    <row r="439" spans="1:13" x14ac:dyDescent="0.25">
      <c r="A439" s="41">
        <v>202007</v>
      </c>
      <c r="B439" s="41">
        <v>54</v>
      </c>
      <c r="C439" s="42" t="s">
        <v>150</v>
      </c>
      <c r="D439" s="58">
        <v>394544011110</v>
      </c>
      <c r="E439" s="46" t="b">
        <v>1</v>
      </c>
      <c r="F439" s="46" t="b">
        <v>0</v>
      </c>
      <c r="G439" s="46" t="b">
        <v>1</v>
      </c>
      <c r="H439" s="42" t="s">
        <v>142</v>
      </c>
      <c r="I439" s="42" t="s">
        <v>143</v>
      </c>
      <c r="J439" s="21">
        <v>0</v>
      </c>
      <c r="K439" s="21">
        <v>0</v>
      </c>
      <c r="L439" s="10">
        <v>-7110.6</v>
      </c>
      <c r="M439" s="10">
        <v>0</v>
      </c>
    </row>
    <row r="440" spans="1:13" x14ac:dyDescent="0.25">
      <c r="A440" s="41">
        <v>202007</v>
      </c>
      <c r="B440" s="41">
        <v>54</v>
      </c>
      <c r="C440" s="42" t="s">
        <v>150</v>
      </c>
      <c r="D440" s="58">
        <v>394544011110</v>
      </c>
      <c r="E440" s="46" t="b">
        <v>1</v>
      </c>
      <c r="F440" s="46" t="b">
        <v>0</v>
      </c>
      <c r="G440" s="46" t="b">
        <v>1</v>
      </c>
      <c r="H440" s="42" t="s">
        <v>142</v>
      </c>
      <c r="I440" s="42" t="s">
        <v>143</v>
      </c>
      <c r="J440" s="21">
        <v>0</v>
      </c>
      <c r="K440" s="21">
        <v>0</v>
      </c>
      <c r="L440" s="10">
        <v>-10337.85</v>
      </c>
      <c r="M440" s="10">
        <v>0</v>
      </c>
    </row>
    <row r="441" spans="1:13" x14ac:dyDescent="0.25">
      <c r="A441" s="41">
        <v>202007</v>
      </c>
      <c r="B441" s="41">
        <v>54</v>
      </c>
      <c r="C441" s="42" t="s">
        <v>150</v>
      </c>
      <c r="D441" s="58">
        <v>394544000851</v>
      </c>
      <c r="E441" s="46" t="b">
        <v>1</v>
      </c>
      <c r="F441" s="46" t="b">
        <v>0</v>
      </c>
      <c r="G441" s="46" t="b">
        <v>1</v>
      </c>
      <c r="H441" s="42" t="s">
        <v>142</v>
      </c>
      <c r="I441" s="42" t="s">
        <v>143</v>
      </c>
      <c r="J441" s="21">
        <v>52</v>
      </c>
      <c r="K441" s="21">
        <v>52</v>
      </c>
      <c r="L441" s="10">
        <v>39503.360000000001</v>
      </c>
      <c r="M441" s="10">
        <v>0</v>
      </c>
    </row>
    <row r="442" spans="1:13" x14ac:dyDescent="0.25">
      <c r="A442" s="41">
        <v>202007</v>
      </c>
      <c r="B442" s="41">
        <v>54</v>
      </c>
      <c r="C442" s="42" t="s">
        <v>150</v>
      </c>
      <c r="D442" s="58">
        <v>394544000851</v>
      </c>
      <c r="E442" s="46" t="b">
        <v>1</v>
      </c>
      <c r="F442" s="46" t="b">
        <v>0</v>
      </c>
      <c r="G442" s="46" t="b">
        <v>1</v>
      </c>
      <c r="H442" s="42" t="s">
        <v>142</v>
      </c>
      <c r="I442" s="42" t="s">
        <v>143</v>
      </c>
      <c r="J442" s="21">
        <v>84</v>
      </c>
      <c r="K442" s="21">
        <v>84</v>
      </c>
      <c r="L442" s="10">
        <v>57432.480000000003</v>
      </c>
      <c r="M442" s="10">
        <v>0</v>
      </c>
    </row>
    <row r="443" spans="1:13" x14ac:dyDescent="0.25">
      <c r="A443" s="41">
        <v>202007</v>
      </c>
      <c r="B443" s="41">
        <v>66</v>
      </c>
      <c r="C443" s="42" t="s">
        <v>43</v>
      </c>
      <c r="D443" s="58">
        <v>394544000851</v>
      </c>
      <c r="E443" s="46" t="b">
        <v>1</v>
      </c>
      <c r="F443" s="46" t="b">
        <v>0</v>
      </c>
      <c r="G443" s="46" t="b">
        <v>1</v>
      </c>
      <c r="H443" s="42" t="s">
        <v>142</v>
      </c>
      <c r="I443" s="42" t="s">
        <v>143</v>
      </c>
      <c r="J443" s="21">
        <v>200</v>
      </c>
      <c r="K443" s="21">
        <v>200</v>
      </c>
      <c r="L443" s="10">
        <v>336534.88</v>
      </c>
      <c r="M443" s="10">
        <v>0</v>
      </c>
    </row>
    <row r="444" spans="1:13" x14ac:dyDescent="0.25">
      <c r="A444" s="41">
        <v>202007</v>
      </c>
      <c r="B444" s="41">
        <v>70</v>
      </c>
      <c r="C444" s="42" t="s">
        <v>139</v>
      </c>
      <c r="D444" s="58">
        <v>394544000851</v>
      </c>
      <c r="E444" s="46" t="b">
        <v>1</v>
      </c>
      <c r="F444" s="46" t="b">
        <v>0</v>
      </c>
      <c r="G444" s="46" t="b">
        <v>1</v>
      </c>
      <c r="H444" s="42" t="s">
        <v>142</v>
      </c>
      <c r="I444" s="42" t="s">
        <v>143</v>
      </c>
      <c r="J444" s="21">
        <v>186</v>
      </c>
      <c r="K444" s="21">
        <v>930</v>
      </c>
      <c r="L444" s="10">
        <v>190592.34</v>
      </c>
      <c r="M444" s="10">
        <v>0</v>
      </c>
    </row>
    <row r="445" spans="1:13" x14ac:dyDescent="0.25">
      <c r="A445" s="41">
        <v>202007</v>
      </c>
      <c r="B445" s="41">
        <v>66</v>
      </c>
      <c r="C445" s="42" t="s">
        <v>43</v>
      </c>
      <c r="D445" s="58">
        <v>394544011110</v>
      </c>
      <c r="E445" s="46" t="b">
        <v>1</v>
      </c>
      <c r="F445" s="46" t="b">
        <v>0</v>
      </c>
      <c r="G445" s="46" t="b">
        <v>1</v>
      </c>
      <c r="H445" s="42" t="s">
        <v>142</v>
      </c>
      <c r="I445" s="42" t="s">
        <v>143</v>
      </c>
      <c r="J445" s="21">
        <v>0</v>
      </c>
      <c r="K445" s="21">
        <v>0</v>
      </c>
      <c r="L445" s="10">
        <v>-68836.679999999993</v>
      </c>
      <c r="M445" s="10">
        <v>0</v>
      </c>
    </row>
  </sheetData>
  <conditionalFormatting sqref="E6:G445">
    <cfRule type="cellIs" dxfId="114" priority="1" operator="equal">
      <formula>FALSE</formula>
    </cfRule>
    <cfRule type="cellIs" dxfId="113" priority="2" operator="equal">
      <formula>TRUE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BE4C6-9263-4357-A6E8-E3060D3FD1EA}">
  <sheetPr codeName="Planilha17"/>
  <dimension ref="A1:Q24"/>
  <sheetViews>
    <sheetView showGridLines="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G6" sqref="G6:G24"/>
    </sheetView>
  </sheetViews>
  <sheetFormatPr defaultRowHeight="15" x14ac:dyDescent="0.25"/>
  <cols>
    <col min="1" max="1" width="19" style="1" bestFit="1" customWidth="1"/>
    <col min="2" max="2" width="30.7109375" style="1" bestFit="1" customWidth="1"/>
    <col min="3" max="3" width="36.28515625" style="1" bestFit="1" customWidth="1"/>
    <col min="4" max="4" width="31.42578125" style="1" bestFit="1" customWidth="1"/>
    <col min="5" max="5" width="36.28515625" style="1" bestFit="1" customWidth="1"/>
    <col min="6" max="6" width="33" style="1" bestFit="1" customWidth="1"/>
    <col min="7" max="7" width="11.28515625" style="1" bestFit="1" customWidth="1"/>
    <col min="8" max="8" width="11.5703125" style="1" bestFit="1" customWidth="1"/>
    <col min="9" max="9" width="12.28515625" style="1" bestFit="1" customWidth="1"/>
    <col min="10" max="10" width="14.5703125" style="1" bestFit="1" customWidth="1"/>
    <col min="11" max="11" width="19.28515625" style="1" bestFit="1" customWidth="1"/>
    <col min="12" max="12" width="20.85546875" style="1" bestFit="1" customWidth="1"/>
    <col min="13" max="13" width="22.5703125" style="1" bestFit="1" customWidth="1"/>
    <col min="14" max="14" width="27.28515625" style="1" bestFit="1" customWidth="1"/>
    <col min="15" max="15" width="21.5703125" style="1" bestFit="1" customWidth="1"/>
    <col min="16" max="16" width="21.140625" style="1" bestFit="1" customWidth="1"/>
    <col min="17" max="17" width="25" style="1" bestFit="1" customWidth="1"/>
    <col min="18" max="16384" width="9.140625" style="1"/>
  </cols>
  <sheetData>
    <row r="1" spans="1:17" ht="18.75" x14ac:dyDescent="0.25">
      <c r="A1" s="8" t="s">
        <v>253</v>
      </c>
    </row>
    <row r="5" spans="1:17" x14ac:dyDescent="0.25">
      <c r="A5" s="59" t="s">
        <v>104</v>
      </c>
      <c r="B5" s="59" t="s">
        <v>110</v>
      </c>
      <c r="C5" s="59" t="s">
        <v>170</v>
      </c>
      <c r="D5" s="59" t="s">
        <v>171</v>
      </c>
      <c r="E5" s="59" t="s">
        <v>172</v>
      </c>
      <c r="F5" s="59" t="s">
        <v>173</v>
      </c>
      <c r="G5" s="33" t="s">
        <v>93</v>
      </c>
      <c r="H5" s="33" t="s">
        <v>157</v>
      </c>
      <c r="I5" s="33" t="s">
        <v>158</v>
      </c>
      <c r="J5" s="59" t="s">
        <v>245</v>
      </c>
      <c r="K5" s="59" t="s">
        <v>246</v>
      </c>
      <c r="L5" s="59" t="s">
        <v>247</v>
      </c>
      <c r="M5" s="33" t="s">
        <v>248</v>
      </c>
      <c r="N5" s="59" t="s">
        <v>249</v>
      </c>
      <c r="O5" s="59" t="s">
        <v>250</v>
      </c>
      <c r="P5" s="59" t="s">
        <v>251</v>
      </c>
      <c r="Q5" s="59" t="s">
        <v>252</v>
      </c>
    </row>
    <row r="6" spans="1:17" x14ac:dyDescent="0.25">
      <c r="A6" s="60">
        <v>202007</v>
      </c>
      <c r="B6" s="61" t="s">
        <v>94</v>
      </c>
      <c r="C6" s="61" t="s">
        <v>126</v>
      </c>
      <c r="D6" s="61"/>
      <c r="E6" s="61" t="s">
        <v>126</v>
      </c>
      <c r="F6" s="61"/>
      <c r="G6" s="62" t="b">
        <v>0</v>
      </c>
      <c r="H6" s="62" t="b">
        <v>1</v>
      </c>
      <c r="I6" s="62" t="b">
        <v>0</v>
      </c>
      <c r="J6" s="32">
        <v>92</v>
      </c>
      <c r="K6" s="32">
        <v>139</v>
      </c>
      <c r="L6" s="62" t="b">
        <v>0</v>
      </c>
      <c r="M6" s="33">
        <v>1.5108695652173914</v>
      </c>
      <c r="N6" s="33">
        <v>1</v>
      </c>
      <c r="O6" s="33">
        <v>1</v>
      </c>
      <c r="P6" s="33">
        <v>1</v>
      </c>
      <c r="Q6" s="33">
        <v>1</v>
      </c>
    </row>
    <row r="7" spans="1:17" x14ac:dyDescent="0.25">
      <c r="A7" s="60">
        <v>202007</v>
      </c>
      <c r="B7" s="61" t="s">
        <v>112</v>
      </c>
      <c r="C7" s="61" t="s">
        <v>120</v>
      </c>
      <c r="D7" s="61"/>
      <c r="E7" s="61" t="s">
        <v>120</v>
      </c>
      <c r="F7" s="61"/>
      <c r="G7" s="62" t="b">
        <v>0</v>
      </c>
      <c r="H7" s="62" t="b">
        <v>1</v>
      </c>
      <c r="I7" s="62" t="b">
        <v>0</v>
      </c>
      <c r="J7" s="32">
        <v>84</v>
      </c>
      <c r="K7" s="32">
        <v>133</v>
      </c>
      <c r="L7" s="62" t="b">
        <v>0</v>
      </c>
      <c r="M7" s="33">
        <v>1.5833333333333335</v>
      </c>
      <c r="N7" s="33">
        <v>1</v>
      </c>
      <c r="O7" s="33">
        <v>1</v>
      </c>
      <c r="P7" s="33">
        <v>1</v>
      </c>
      <c r="Q7" s="33">
        <v>1</v>
      </c>
    </row>
    <row r="8" spans="1:17" x14ac:dyDescent="0.25">
      <c r="A8" s="60">
        <v>202007</v>
      </c>
      <c r="B8" s="61" t="s">
        <v>112</v>
      </c>
      <c r="C8" s="61" t="s">
        <v>115</v>
      </c>
      <c r="D8" s="61"/>
      <c r="E8" s="61" t="s">
        <v>115</v>
      </c>
      <c r="F8" s="61"/>
      <c r="G8" s="62" t="b">
        <v>0</v>
      </c>
      <c r="H8" s="62" t="b">
        <v>1</v>
      </c>
      <c r="I8" s="62" t="b">
        <v>0</v>
      </c>
      <c r="J8" s="32">
        <v>84</v>
      </c>
      <c r="K8" s="32">
        <v>127</v>
      </c>
      <c r="L8" s="62" t="b">
        <v>0</v>
      </c>
      <c r="M8" s="33">
        <v>1.5119047619047621</v>
      </c>
      <c r="N8" s="33">
        <v>1</v>
      </c>
      <c r="O8" s="33">
        <v>1</v>
      </c>
      <c r="P8" s="33">
        <v>1</v>
      </c>
      <c r="Q8" s="33">
        <v>1</v>
      </c>
    </row>
    <row r="9" spans="1:17" x14ac:dyDescent="0.25">
      <c r="A9" s="60">
        <v>202007</v>
      </c>
      <c r="B9" s="61" t="s">
        <v>112</v>
      </c>
      <c r="C9" s="61" t="s">
        <v>98</v>
      </c>
      <c r="D9" s="61" t="s">
        <v>98</v>
      </c>
      <c r="E9" s="61"/>
      <c r="F9" s="61"/>
      <c r="G9" s="62" t="b">
        <v>1</v>
      </c>
      <c r="H9" s="62" t="b">
        <v>0</v>
      </c>
      <c r="I9" s="62" t="b">
        <v>0</v>
      </c>
      <c r="J9" s="32">
        <v>84</v>
      </c>
      <c r="K9" s="32">
        <v>84</v>
      </c>
      <c r="L9" s="62" t="b">
        <v>0</v>
      </c>
      <c r="M9" s="33">
        <v>1</v>
      </c>
      <c r="N9" s="33">
        <v>1</v>
      </c>
      <c r="O9" s="33">
        <v>1</v>
      </c>
      <c r="P9" s="33">
        <v>1</v>
      </c>
      <c r="Q9" s="33">
        <v>1</v>
      </c>
    </row>
    <row r="10" spans="1:17" x14ac:dyDescent="0.25">
      <c r="A10" s="60">
        <v>202007</v>
      </c>
      <c r="B10" s="61" t="s">
        <v>112</v>
      </c>
      <c r="C10" s="61" t="s">
        <v>99</v>
      </c>
      <c r="D10" s="61" t="s">
        <v>99</v>
      </c>
      <c r="E10" s="61"/>
      <c r="F10" s="61"/>
      <c r="G10" s="62" t="b">
        <v>1</v>
      </c>
      <c r="H10" s="62" t="b">
        <v>0</v>
      </c>
      <c r="I10" s="62" t="b">
        <v>0</v>
      </c>
      <c r="J10" s="32">
        <v>84</v>
      </c>
      <c r="K10" s="32">
        <v>125</v>
      </c>
      <c r="L10" s="62" t="b">
        <v>0</v>
      </c>
      <c r="M10" s="33">
        <v>1.4880952380952379</v>
      </c>
      <c r="N10" s="33">
        <v>1</v>
      </c>
      <c r="O10" s="33">
        <v>1</v>
      </c>
      <c r="P10" s="33">
        <v>1</v>
      </c>
      <c r="Q10" s="33">
        <v>1</v>
      </c>
    </row>
    <row r="11" spans="1:17" x14ac:dyDescent="0.25">
      <c r="A11" s="60">
        <v>202007</v>
      </c>
      <c r="B11" s="61" t="s">
        <v>94</v>
      </c>
      <c r="C11" s="61" t="s">
        <v>100</v>
      </c>
      <c r="D11" s="61" t="s">
        <v>100</v>
      </c>
      <c r="E11" s="61"/>
      <c r="F11" s="61"/>
      <c r="G11" s="62" t="b">
        <v>1</v>
      </c>
      <c r="H11" s="62" t="b">
        <v>0</v>
      </c>
      <c r="I11" s="62" t="b">
        <v>0</v>
      </c>
      <c r="J11" s="32">
        <v>92</v>
      </c>
      <c r="K11" s="32">
        <v>117</v>
      </c>
      <c r="L11" s="62" t="b">
        <v>0</v>
      </c>
      <c r="M11" s="33">
        <v>1.2717391304347827</v>
      </c>
      <c r="N11" s="33">
        <v>1</v>
      </c>
      <c r="O11" s="33">
        <v>1</v>
      </c>
      <c r="P11" s="33">
        <v>1</v>
      </c>
      <c r="Q11" s="33">
        <v>1</v>
      </c>
    </row>
    <row r="12" spans="1:17" x14ac:dyDescent="0.25">
      <c r="A12" s="60">
        <v>202007</v>
      </c>
      <c r="B12" s="61" t="s">
        <v>94</v>
      </c>
      <c r="C12" s="61" t="s">
        <v>128</v>
      </c>
      <c r="D12" s="61"/>
      <c r="E12" s="61" t="s">
        <v>128</v>
      </c>
      <c r="F12" s="61"/>
      <c r="G12" s="62" t="b">
        <v>0</v>
      </c>
      <c r="H12" s="62" t="b">
        <v>1</v>
      </c>
      <c r="I12" s="62" t="b">
        <v>0</v>
      </c>
      <c r="J12" s="32">
        <v>92</v>
      </c>
      <c r="K12" s="32">
        <v>119</v>
      </c>
      <c r="L12" s="62" t="b">
        <v>0</v>
      </c>
      <c r="M12" s="33">
        <v>1.2934782608695652</v>
      </c>
      <c r="N12" s="33">
        <v>1</v>
      </c>
      <c r="O12" s="33">
        <v>1</v>
      </c>
      <c r="P12" s="33">
        <v>1</v>
      </c>
      <c r="Q12" s="33">
        <v>1</v>
      </c>
    </row>
    <row r="13" spans="1:17" x14ac:dyDescent="0.25">
      <c r="A13" s="60">
        <v>202007</v>
      </c>
      <c r="B13" s="61" t="s">
        <v>94</v>
      </c>
      <c r="C13" s="61" t="s">
        <v>95</v>
      </c>
      <c r="D13" s="61"/>
      <c r="E13" s="61"/>
      <c r="F13" s="61" t="s">
        <v>95</v>
      </c>
      <c r="G13" s="62" t="b">
        <v>0</v>
      </c>
      <c r="H13" s="62" t="b">
        <v>0</v>
      </c>
      <c r="I13" s="62" t="b">
        <v>1</v>
      </c>
      <c r="J13" s="32">
        <v>92</v>
      </c>
      <c r="K13" s="32">
        <v>124</v>
      </c>
      <c r="L13" s="62" t="b">
        <v>0</v>
      </c>
      <c r="M13" s="33">
        <v>1.3478260869565217</v>
      </c>
      <c r="N13" s="33">
        <v>1</v>
      </c>
      <c r="O13" s="33">
        <v>1</v>
      </c>
      <c r="P13" s="33">
        <v>1</v>
      </c>
      <c r="Q13" s="33">
        <v>1</v>
      </c>
    </row>
    <row r="14" spans="1:17" x14ac:dyDescent="0.25">
      <c r="A14" s="60">
        <v>202007</v>
      </c>
      <c r="B14" s="61" t="s">
        <v>112</v>
      </c>
      <c r="C14" s="61" t="s">
        <v>101</v>
      </c>
      <c r="D14" s="61" t="s">
        <v>101</v>
      </c>
      <c r="E14" s="61"/>
      <c r="F14" s="61"/>
      <c r="G14" s="62" t="b">
        <v>1</v>
      </c>
      <c r="H14" s="62" t="b">
        <v>0</v>
      </c>
      <c r="I14" s="62" t="b">
        <v>0</v>
      </c>
      <c r="J14" s="32">
        <v>84</v>
      </c>
      <c r="K14" s="32">
        <v>137</v>
      </c>
      <c r="L14" s="62" t="b">
        <v>0</v>
      </c>
      <c r="M14" s="33">
        <v>1.6309523809523809</v>
      </c>
      <c r="N14" s="33">
        <v>1</v>
      </c>
      <c r="O14" s="33">
        <v>1</v>
      </c>
      <c r="P14" s="33">
        <v>1</v>
      </c>
      <c r="Q14" s="33">
        <v>1</v>
      </c>
    </row>
    <row r="15" spans="1:17" x14ac:dyDescent="0.25">
      <c r="A15" s="60">
        <v>202007</v>
      </c>
      <c r="B15" s="61" t="s">
        <v>96</v>
      </c>
      <c r="C15" s="61" t="s">
        <v>122</v>
      </c>
      <c r="D15" s="61"/>
      <c r="E15" s="61" t="s">
        <v>122</v>
      </c>
      <c r="F15" s="61"/>
      <c r="G15" s="62" t="b">
        <v>0</v>
      </c>
      <c r="H15" s="62" t="b">
        <v>1</v>
      </c>
      <c r="I15" s="62" t="b">
        <v>0</v>
      </c>
      <c r="J15" s="32">
        <v>92</v>
      </c>
      <c r="K15" s="32">
        <v>142</v>
      </c>
      <c r="L15" s="62" t="b">
        <v>0</v>
      </c>
      <c r="M15" s="33">
        <v>1.5434782608695654</v>
      </c>
      <c r="N15" s="33">
        <v>1</v>
      </c>
      <c r="O15" s="33">
        <v>1</v>
      </c>
      <c r="P15" s="33">
        <v>1</v>
      </c>
      <c r="Q15" s="33">
        <v>1</v>
      </c>
    </row>
    <row r="16" spans="1:17" x14ac:dyDescent="0.25">
      <c r="A16" s="60">
        <v>202007</v>
      </c>
      <c r="B16" s="61" t="s">
        <v>96</v>
      </c>
      <c r="C16" s="61" t="s">
        <v>117</v>
      </c>
      <c r="D16" s="61"/>
      <c r="E16" s="61" t="s">
        <v>117</v>
      </c>
      <c r="F16" s="61"/>
      <c r="G16" s="62" t="b">
        <v>0</v>
      </c>
      <c r="H16" s="62" t="b">
        <v>1</v>
      </c>
      <c r="I16" s="62" t="b">
        <v>0</v>
      </c>
      <c r="J16" s="32">
        <v>92</v>
      </c>
      <c r="K16" s="32">
        <v>126</v>
      </c>
      <c r="L16" s="62" t="b">
        <v>0</v>
      </c>
      <c r="M16" s="33">
        <v>1.3695652173913044</v>
      </c>
      <c r="N16" s="33">
        <v>1</v>
      </c>
      <c r="O16" s="33">
        <v>1</v>
      </c>
      <c r="P16" s="33">
        <v>1</v>
      </c>
      <c r="Q16" s="33">
        <v>1</v>
      </c>
    </row>
    <row r="17" spans="1:17" x14ac:dyDescent="0.25">
      <c r="A17" s="60">
        <v>202007</v>
      </c>
      <c r="B17" s="61" t="s">
        <v>96</v>
      </c>
      <c r="C17" s="61" t="s">
        <v>130</v>
      </c>
      <c r="D17" s="61"/>
      <c r="E17" s="61" t="s">
        <v>130</v>
      </c>
      <c r="F17" s="61"/>
      <c r="G17" s="62" t="b">
        <v>0</v>
      </c>
      <c r="H17" s="62" t="b">
        <v>1</v>
      </c>
      <c r="I17" s="62" t="b">
        <v>0</v>
      </c>
      <c r="J17" s="32">
        <v>92</v>
      </c>
      <c r="K17" s="32">
        <v>138</v>
      </c>
      <c r="L17" s="62" t="b">
        <v>0</v>
      </c>
      <c r="M17" s="33">
        <v>1.5</v>
      </c>
      <c r="N17" s="33">
        <v>1</v>
      </c>
      <c r="O17" s="33">
        <v>1</v>
      </c>
      <c r="P17" s="33">
        <v>1</v>
      </c>
      <c r="Q17" s="33">
        <v>1</v>
      </c>
    </row>
    <row r="18" spans="1:17" x14ac:dyDescent="0.25">
      <c r="A18" s="60">
        <v>202007</v>
      </c>
      <c r="B18" s="61" t="s">
        <v>96</v>
      </c>
      <c r="C18" s="61" t="s">
        <v>129</v>
      </c>
      <c r="D18" s="61"/>
      <c r="E18" s="61" t="s">
        <v>129</v>
      </c>
      <c r="F18" s="61"/>
      <c r="G18" s="62" t="b">
        <v>0</v>
      </c>
      <c r="H18" s="62" t="b">
        <v>1</v>
      </c>
      <c r="I18" s="62" t="b">
        <v>0</v>
      </c>
      <c r="J18" s="32">
        <v>92</v>
      </c>
      <c r="K18" s="32">
        <v>125</v>
      </c>
      <c r="L18" s="62" t="b">
        <v>0</v>
      </c>
      <c r="M18" s="33">
        <v>1.3586956521739131</v>
      </c>
      <c r="N18" s="33">
        <v>1</v>
      </c>
      <c r="O18" s="33">
        <v>1</v>
      </c>
      <c r="P18" s="33">
        <v>1</v>
      </c>
      <c r="Q18" s="33">
        <v>1</v>
      </c>
    </row>
    <row r="19" spans="1:17" x14ac:dyDescent="0.25">
      <c r="A19" s="60">
        <v>202007</v>
      </c>
      <c r="B19" s="61" t="s">
        <v>94</v>
      </c>
      <c r="C19" s="61" t="s">
        <v>124</v>
      </c>
      <c r="D19" s="61"/>
      <c r="E19" s="61" t="s">
        <v>124</v>
      </c>
      <c r="F19" s="61"/>
      <c r="G19" s="62" t="b">
        <v>0</v>
      </c>
      <c r="H19" s="62" t="b">
        <v>1</v>
      </c>
      <c r="I19" s="62" t="b">
        <v>0</v>
      </c>
      <c r="J19" s="32">
        <v>92</v>
      </c>
      <c r="K19" s="32">
        <v>136</v>
      </c>
      <c r="L19" s="62" t="b">
        <v>0</v>
      </c>
      <c r="M19" s="33">
        <v>1.4782608695652175</v>
      </c>
      <c r="N19" s="33">
        <v>1</v>
      </c>
      <c r="O19" s="33">
        <v>1</v>
      </c>
      <c r="P19" s="33">
        <v>1</v>
      </c>
      <c r="Q19" s="33">
        <v>1</v>
      </c>
    </row>
    <row r="20" spans="1:17" x14ac:dyDescent="0.25">
      <c r="A20" s="60">
        <v>202007</v>
      </c>
      <c r="B20" s="61" t="s">
        <v>94</v>
      </c>
      <c r="C20" s="61" t="s">
        <v>102</v>
      </c>
      <c r="D20" s="61" t="s">
        <v>102</v>
      </c>
      <c r="E20" s="61"/>
      <c r="F20" s="61"/>
      <c r="G20" s="62" t="b">
        <v>1</v>
      </c>
      <c r="H20" s="62" t="b">
        <v>0</v>
      </c>
      <c r="I20" s="62" t="b">
        <v>0</v>
      </c>
      <c r="J20" s="32">
        <v>92</v>
      </c>
      <c r="K20" s="32">
        <v>97</v>
      </c>
      <c r="L20" s="62" t="b">
        <v>0</v>
      </c>
      <c r="M20" s="33">
        <v>1.0543478260869565</v>
      </c>
      <c r="N20" s="33">
        <v>1</v>
      </c>
      <c r="O20" s="33">
        <v>1</v>
      </c>
      <c r="P20" s="33">
        <v>1</v>
      </c>
      <c r="Q20" s="33">
        <v>1</v>
      </c>
    </row>
    <row r="21" spans="1:17" x14ac:dyDescent="0.25">
      <c r="A21" s="60">
        <v>202007</v>
      </c>
      <c r="B21" s="61" t="s">
        <v>94</v>
      </c>
      <c r="C21" s="61" t="s">
        <v>127</v>
      </c>
      <c r="D21" s="61"/>
      <c r="E21" s="61" t="s">
        <v>127</v>
      </c>
      <c r="F21" s="61"/>
      <c r="G21" s="62" t="b">
        <v>0</v>
      </c>
      <c r="H21" s="62" t="b">
        <v>1</v>
      </c>
      <c r="I21" s="62" t="b">
        <v>0</v>
      </c>
      <c r="J21" s="32">
        <v>92</v>
      </c>
      <c r="K21" s="32">
        <v>116</v>
      </c>
      <c r="L21" s="62" t="b">
        <v>0</v>
      </c>
      <c r="M21" s="33">
        <v>1.2608695652173914</v>
      </c>
      <c r="N21" s="33">
        <v>1</v>
      </c>
      <c r="O21" s="33">
        <v>1</v>
      </c>
      <c r="P21" s="33">
        <v>1</v>
      </c>
      <c r="Q21" s="33">
        <v>1</v>
      </c>
    </row>
    <row r="22" spans="1:17" x14ac:dyDescent="0.25">
      <c r="A22" s="60">
        <v>202007</v>
      </c>
      <c r="B22" s="61" t="s">
        <v>112</v>
      </c>
      <c r="C22" s="61" t="s">
        <v>113</v>
      </c>
      <c r="D22" s="61"/>
      <c r="E22" s="61" t="s">
        <v>113</v>
      </c>
      <c r="F22" s="61"/>
      <c r="G22" s="62" t="b">
        <v>0</v>
      </c>
      <c r="H22" s="62" t="b">
        <v>1</v>
      </c>
      <c r="I22" s="62" t="b">
        <v>0</v>
      </c>
      <c r="J22" s="32">
        <v>84</v>
      </c>
      <c r="K22" s="32">
        <v>125</v>
      </c>
      <c r="L22" s="62" t="b">
        <v>0</v>
      </c>
      <c r="M22" s="33">
        <v>1.4880952380952379</v>
      </c>
      <c r="N22" s="33">
        <v>1</v>
      </c>
      <c r="O22" s="33">
        <v>1</v>
      </c>
      <c r="P22" s="33">
        <v>1</v>
      </c>
      <c r="Q22" s="33">
        <v>1</v>
      </c>
    </row>
    <row r="23" spans="1:17" x14ac:dyDescent="0.25">
      <c r="A23" s="60">
        <v>202007</v>
      </c>
      <c r="B23" s="61" t="s">
        <v>96</v>
      </c>
      <c r="C23" s="61" t="s">
        <v>103</v>
      </c>
      <c r="D23" s="61" t="s">
        <v>103</v>
      </c>
      <c r="E23" s="61"/>
      <c r="F23" s="61"/>
      <c r="G23" s="62" t="b">
        <v>1</v>
      </c>
      <c r="H23" s="62" t="b">
        <v>0</v>
      </c>
      <c r="I23" s="62" t="b">
        <v>0</v>
      </c>
      <c r="J23" s="32">
        <v>92</v>
      </c>
      <c r="K23" s="32">
        <v>82</v>
      </c>
      <c r="L23" s="62" t="b">
        <v>0</v>
      </c>
      <c r="M23" s="33">
        <v>0.89130434782608692</v>
      </c>
      <c r="N23" s="33">
        <v>1</v>
      </c>
      <c r="O23" s="33">
        <v>1</v>
      </c>
      <c r="P23" s="33">
        <v>1</v>
      </c>
      <c r="Q23" s="33">
        <v>1</v>
      </c>
    </row>
    <row r="24" spans="1:17" x14ac:dyDescent="0.25">
      <c r="A24" s="60">
        <v>202007</v>
      </c>
      <c r="B24" s="61" t="s">
        <v>96</v>
      </c>
      <c r="C24" s="61" t="s">
        <v>97</v>
      </c>
      <c r="D24" s="61"/>
      <c r="E24" s="61"/>
      <c r="F24" s="61" t="s">
        <v>97</v>
      </c>
      <c r="G24" s="62" t="b">
        <v>0</v>
      </c>
      <c r="H24" s="62" t="b">
        <v>0</v>
      </c>
      <c r="I24" s="62" t="b">
        <v>1</v>
      </c>
      <c r="J24" s="32">
        <v>92</v>
      </c>
      <c r="K24" s="32">
        <v>138</v>
      </c>
      <c r="L24" s="62" t="b">
        <v>0</v>
      </c>
      <c r="M24" s="33">
        <v>1.5</v>
      </c>
      <c r="N24" s="33">
        <v>1</v>
      </c>
      <c r="O24" s="33">
        <v>1</v>
      </c>
      <c r="P24" s="33">
        <v>1</v>
      </c>
      <c r="Q24" s="33">
        <v>1</v>
      </c>
    </row>
  </sheetData>
  <conditionalFormatting sqref="G6:I24">
    <cfRule type="cellIs" dxfId="97" priority="6" operator="equal">
      <formula>FALSE</formula>
    </cfRule>
    <cfRule type="cellIs" dxfId="96" priority="7" operator="equal">
      <formula>TRUE</formula>
    </cfRule>
  </conditionalFormatting>
  <conditionalFormatting sqref="L6:L24">
    <cfRule type="cellIs" dxfId="95" priority="4" operator="equal">
      <formula>FALSE</formula>
    </cfRule>
    <cfRule type="cellIs" dxfId="94" priority="5" operator="equal">
      <formula>TRUE</formula>
    </cfRule>
  </conditionalFormatting>
  <conditionalFormatting sqref="M6:Q24">
    <cfRule type="cellIs" dxfId="93" priority="1" operator="greaterThanOrEqual">
      <formula>1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greaterThanOrEqual" id="{C88FEB96-70BD-47FC-B62B-FD8789C96175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" operator="lessThan" id="{80DA564C-83C2-4F32-9CC7-65C20A501186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M6:Q24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BB98F-3AEA-4C47-BBE5-88CEED98ACD6}">
  <sheetPr codeName="Planilha18"/>
  <dimension ref="A1:N711"/>
  <sheetViews>
    <sheetView showGridLines="0" workbookViewId="0">
      <pane xSplit="1" ySplit="5" topLeftCell="B696" activePane="bottomRight" state="frozen"/>
      <selection pane="topRight" activeCell="B1" sqref="B1"/>
      <selection pane="bottomLeft" activeCell="A6" sqref="A6"/>
      <selection pane="bottomRight" activeCell="J179" sqref="J179"/>
    </sheetView>
  </sheetViews>
  <sheetFormatPr defaultRowHeight="15" x14ac:dyDescent="0.25"/>
  <cols>
    <col min="1" max="14" width="9.140625" style="1" bestFit="1" customWidth="1"/>
    <col min="15" max="16384" width="9.140625" style="1"/>
  </cols>
  <sheetData>
    <row r="1" spans="1:14" ht="15.75" x14ac:dyDescent="0.25">
      <c r="A1" s="88" t="s">
        <v>292</v>
      </c>
    </row>
    <row r="2" spans="1:14" x14ac:dyDescent="0.25">
      <c r="A2" s="78" t="str" cm="1">
        <f t="array" ref="A2" xml:space="preserve"> "Tabela de valores base e pesos para ano fiscal CSL Behring " &amp; Datas[AnoMes-Fiscal]</f>
        <v>Tabela de valores base e pesos para ano fiscal CSL Behring 2020/2021 (01-Jul)</v>
      </c>
    </row>
    <row r="4" spans="1:14" x14ac:dyDescent="0.25">
      <c r="A4" s="86" t="s">
        <v>291</v>
      </c>
      <c r="B4" s="87">
        <f>VLOOKUP(1,Valores_Gerentes[],2,0)</f>
        <v>5641.2349999999997</v>
      </c>
      <c r="C4" s="87">
        <f>VLOOKUP(1,Valores_Gerentes[],3,0)</f>
        <v>282.06169999999997</v>
      </c>
      <c r="D4" s="87">
        <f>VLOOKUP(1,Valores_Gerentes[],4,0)</f>
        <v>141.0309</v>
      </c>
      <c r="E4" s="87">
        <f>VLOOKUP(1,Valores_Gerentes[],5,0)</f>
        <v>141.0309</v>
      </c>
      <c r="F4" s="87">
        <f>VLOOKUP(1,Valores_Gerentes[],6,0)</f>
        <v>564.12350000000004</v>
      </c>
      <c r="G4" s="87">
        <f>VLOOKUP(1,Valores_Gerentes[],7,0)</f>
        <v>282.06169999999997</v>
      </c>
      <c r="H4" s="87">
        <f>VLOOKUP(1,Valores_Gerentes[],8,0)</f>
        <v>282.06169999999997</v>
      </c>
      <c r="I4" s="87">
        <f>VLOOKUP(1,Valores_Gerentes[],9,0)</f>
        <v>564.12350000000004</v>
      </c>
      <c r="J4" s="87">
        <f>VLOOKUP(1,Valores_Gerentes[],10,0)</f>
        <v>564.12350000000004</v>
      </c>
      <c r="K4" s="87">
        <f>VLOOKUP(1,Valores_Gerentes[],11,0)</f>
        <v>1692.3705</v>
      </c>
      <c r="L4" s="87">
        <f>VLOOKUP(1,Valores_Gerentes[],12,0)</f>
        <v>564.12350000000004</v>
      </c>
      <c r="M4" s="87">
        <f>VLOOKUP(1,Valores_Gerentes[],13,0)</f>
        <v>564.12350000000004</v>
      </c>
    </row>
    <row r="5" spans="1:14" x14ac:dyDescent="0.25">
      <c r="A5" s="2" t="s">
        <v>55</v>
      </c>
      <c r="B5" s="2" t="s">
        <v>56</v>
      </c>
      <c r="C5" s="2" t="s">
        <v>57</v>
      </c>
      <c r="D5" s="2" t="s">
        <v>58</v>
      </c>
      <c r="E5" s="2" t="s">
        <v>59</v>
      </c>
      <c r="F5" s="2" t="s">
        <v>60</v>
      </c>
      <c r="G5" s="2" t="s">
        <v>61</v>
      </c>
      <c r="H5" s="2" t="s">
        <v>62</v>
      </c>
      <c r="I5" s="2" t="s">
        <v>63</v>
      </c>
      <c r="J5" s="2" t="s">
        <v>64</v>
      </c>
      <c r="K5" s="2" t="s">
        <v>65</v>
      </c>
      <c r="L5" s="2" t="s">
        <v>66</v>
      </c>
      <c r="M5" s="2" t="s">
        <v>67</v>
      </c>
      <c r="N5" s="2" t="s">
        <v>68</v>
      </c>
    </row>
    <row r="6" spans="1:14" x14ac:dyDescent="0.25">
      <c r="A6" s="51">
        <v>0.79500000000000004</v>
      </c>
      <c r="B6" s="53">
        <v>2256.4940000000001</v>
      </c>
      <c r="C6" s="53">
        <v>112.82470000000001</v>
      </c>
      <c r="D6" s="53">
        <v>56.412300000000002</v>
      </c>
      <c r="E6" s="53">
        <v>56.412300000000002</v>
      </c>
      <c r="F6" s="53">
        <v>225.64940000000001</v>
      </c>
      <c r="G6" s="53">
        <v>112.82470000000001</v>
      </c>
      <c r="H6" s="53">
        <v>112.82470000000001</v>
      </c>
      <c r="I6" s="53">
        <v>225.64940000000001</v>
      </c>
      <c r="J6" s="53">
        <v>225.64940000000001</v>
      </c>
      <c r="K6" s="53">
        <v>676.94820000000004</v>
      </c>
      <c r="L6" s="53">
        <v>225.64940000000001</v>
      </c>
      <c r="M6" s="53">
        <v>225.64940000000001</v>
      </c>
      <c r="N6" s="3" t="s">
        <v>69</v>
      </c>
    </row>
    <row r="7" spans="1:14" x14ac:dyDescent="0.25">
      <c r="A7" s="51">
        <v>0.79600000000000004</v>
      </c>
      <c r="B7" s="53">
        <v>2256.4940000000001</v>
      </c>
      <c r="C7" s="53">
        <v>112.82470000000001</v>
      </c>
      <c r="D7" s="53">
        <v>56.412300000000002</v>
      </c>
      <c r="E7" s="53">
        <v>56.412300000000002</v>
      </c>
      <c r="F7" s="53">
        <v>225.64940000000001</v>
      </c>
      <c r="G7" s="53">
        <v>112.82470000000001</v>
      </c>
      <c r="H7" s="53">
        <v>112.82470000000001</v>
      </c>
      <c r="I7" s="53">
        <v>225.64940000000001</v>
      </c>
      <c r="J7" s="53">
        <v>225.64940000000001</v>
      </c>
      <c r="K7" s="53">
        <v>676.94820000000004</v>
      </c>
      <c r="L7" s="53">
        <v>225.64940000000001</v>
      </c>
      <c r="M7" s="53">
        <v>225.64940000000001</v>
      </c>
      <c r="N7" s="3" t="s">
        <v>69</v>
      </c>
    </row>
    <row r="8" spans="1:14" x14ac:dyDescent="0.25">
      <c r="A8" s="51">
        <v>0.79700000000000004</v>
      </c>
      <c r="B8" s="53">
        <v>2256.4940000000001</v>
      </c>
      <c r="C8" s="53">
        <v>112.82470000000001</v>
      </c>
      <c r="D8" s="53">
        <v>56.412300000000002</v>
      </c>
      <c r="E8" s="53">
        <v>56.412300000000002</v>
      </c>
      <c r="F8" s="53">
        <v>225.64940000000001</v>
      </c>
      <c r="G8" s="53">
        <v>112.82470000000001</v>
      </c>
      <c r="H8" s="53">
        <v>112.82470000000001</v>
      </c>
      <c r="I8" s="53">
        <v>225.64940000000001</v>
      </c>
      <c r="J8" s="53">
        <v>225.64940000000001</v>
      </c>
      <c r="K8" s="53">
        <v>676.94820000000004</v>
      </c>
      <c r="L8" s="53">
        <v>225.64940000000001</v>
      </c>
      <c r="M8" s="53">
        <v>225.64940000000001</v>
      </c>
      <c r="N8" s="3" t="s">
        <v>69</v>
      </c>
    </row>
    <row r="9" spans="1:14" x14ac:dyDescent="0.25">
      <c r="A9" s="51">
        <v>0.79800000000000004</v>
      </c>
      <c r="B9" s="53">
        <v>2256.4940000000001</v>
      </c>
      <c r="C9" s="53">
        <v>112.82470000000001</v>
      </c>
      <c r="D9" s="53">
        <v>56.412300000000002</v>
      </c>
      <c r="E9" s="53">
        <v>56.412300000000002</v>
      </c>
      <c r="F9" s="53">
        <v>225.64940000000001</v>
      </c>
      <c r="G9" s="53">
        <v>112.82470000000001</v>
      </c>
      <c r="H9" s="53">
        <v>112.82470000000001</v>
      </c>
      <c r="I9" s="53">
        <v>225.64940000000001</v>
      </c>
      <c r="J9" s="53">
        <v>225.64940000000001</v>
      </c>
      <c r="K9" s="53">
        <v>676.94820000000004</v>
      </c>
      <c r="L9" s="53">
        <v>225.64940000000001</v>
      </c>
      <c r="M9" s="53">
        <v>225.64940000000001</v>
      </c>
      <c r="N9" s="3" t="s">
        <v>69</v>
      </c>
    </row>
    <row r="10" spans="1:14" x14ac:dyDescent="0.25">
      <c r="A10" s="51">
        <v>0.79900000000000004</v>
      </c>
      <c r="B10" s="53">
        <v>2256.4940000000001</v>
      </c>
      <c r="C10" s="53">
        <v>112.82470000000001</v>
      </c>
      <c r="D10" s="53">
        <v>56.412300000000002</v>
      </c>
      <c r="E10" s="53">
        <v>56.412300000000002</v>
      </c>
      <c r="F10" s="53">
        <v>225.64940000000001</v>
      </c>
      <c r="G10" s="53">
        <v>112.82470000000001</v>
      </c>
      <c r="H10" s="53">
        <v>112.82470000000001</v>
      </c>
      <c r="I10" s="53">
        <v>225.64940000000001</v>
      </c>
      <c r="J10" s="53">
        <v>225.64940000000001</v>
      </c>
      <c r="K10" s="53">
        <v>676.94820000000004</v>
      </c>
      <c r="L10" s="53">
        <v>225.64940000000001</v>
      </c>
      <c r="M10" s="53">
        <v>225.64940000000001</v>
      </c>
      <c r="N10" s="3" t="s">
        <v>69</v>
      </c>
    </row>
    <row r="11" spans="1:14" x14ac:dyDescent="0.25">
      <c r="A11" s="51">
        <v>0.8</v>
      </c>
      <c r="B11" s="53">
        <v>2256.4940000000001</v>
      </c>
      <c r="C11" s="53">
        <v>112.82470000000001</v>
      </c>
      <c r="D11" s="53">
        <v>56.412300000000002</v>
      </c>
      <c r="E11" s="53">
        <v>56.412300000000002</v>
      </c>
      <c r="F11" s="53">
        <v>225.64940000000001</v>
      </c>
      <c r="G11" s="53">
        <v>112.82470000000001</v>
      </c>
      <c r="H11" s="53">
        <v>112.82470000000001</v>
      </c>
      <c r="I11" s="53">
        <v>225.64940000000001</v>
      </c>
      <c r="J11" s="53">
        <v>225.64940000000001</v>
      </c>
      <c r="K11" s="53">
        <v>676.94820000000004</v>
      </c>
      <c r="L11" s="53">
        <v>225.64940000000001</v>
      </c>
      <c r="M11" s="53">
        <v>225.64940000000001</v>
      </c>
      <c r="N11" s="3" t="s">
        <v>69</v>
      </c>
    </row>
    <row r="12" spans="1:14" x14ac:dyDescent="0.25">
      <c r="A12" s="51">
        <v>0.80100000000000005</v>
      </c>
      <c r="B12" s="53">
        <v>2259.3146000000002</v>
      </c>
      <c r="C12" s="53">
        <v>112.9657</v>
      </c>
      <c r="D12" s="53">
        <v>56.482900000000001</v>
      </c>
      <c r="E12" s="53">
        <v>56.482900000000001</v>
      </c>
      <c r="F12" s="53">
        <v>225.9315</v>
      </c>
      <c r="G12" s="53">
        <v>112.9657</v>
      </c>
      <c r="H12" s="53">
        <v>112.9657</v>
      </c>
      <c r="I12" s="53">
        <v>225.9315</v>
      </c>
      <c r="J12" s="53">
        <v>225.9315</v>
      </c>
      <c r="K12" s="53">
        <v>677.7944</v>
      </c>
      <c r="L12" s="53">
        <v>225.9315</v>
      </c>
      <c r="M12" s="53">
        <v>225.9315</v>
      </c>
      <c r="N12" s="3" t="s">
        <v>69</v>
      </c>
    </row>
    <row r="13" spans="1:14" x14ac:dyDescent="0.25">
      <c r="A13" s="51">
        <v>0.80200000000000005</v>
      </c>
      <c r="B13" s="53">
        <v>2262.1352000000002</v>
      </c>
      <c r="C13" s="53">
        <v>113.10680000000001</v>
      </c>
      <c r="D13" s="53">
        <v>56.553400000000003</v>
      </c>
      <c r="E13" s="53">
        <v>56.553400000000003</v>
      </c>
      <c r="F13" s="53">
        <v>226.21350000000001</v>
      </c>
      <c r="G13" s="53">
        <v>113.10680000000001</v>
      </c>
      <c r="H13" s="53">
        <v>113.10680000000001</v>
      </c>
      <c r="I13" s="53">
        <v>226.21350000000001</v>
      </c>
      <c r="J13" s="53">
        <v>226.21350000000001</v>
      </c>
      <c r="K13" s="53">
        <v>678.64059999999995</v>
      </c>
      <c r="L13" s="53">
        <v>226.21350000000001</v>
      </c>
      <c r="M13" s="53">
        <v>226.21350000000001</v>
      </c>
      <c r="N13" s="3" t="s">
        <v>69</v>
      </c>
    </row>
    <row r="14" spans="1:14" x14ac:dyDescent="0.25">
      <c r="A14" s="51">
        <v>0.80300000000000005</v>
      </c>
      <c r="B14" s="53">
        <v>2264.9558000000002</v>
      </c>
      <c r="C14" s="53">
        <v>113.2478</v>
      </c>
      <c r="D14" s="53">
        <v>56.623899999999999</v>
      </c>
      <c r="E14" s="53">
        <v>56.623899999999999</v>
      </c>
      <c r="F14" s="53">
        <v>226.4956</v>
      </c>
      <c r="G14" s="53">
        <v>113.2478</v>
      </c>
      <c r="H14" s="53">
        <v>113.2478</v>
      </c>
      <c r="I14" s="53">
        <v>226.4956</v>
      </c>
      <c r="J14" s="53">
        <v>226.4956</v>
      </c>
      <c r="K14" s="53">
        <v>679.48680000000002</v>
      </c>
      <c r="L14" s="53">
        <v>226.4956</v>
      </c>
      <c r="M14" s="53">
        <v>226.4956</v>
      </c>
      <c r="N14" s="3" t="s">
        <v>69</v>
      </c>
    </row>
    <row r="15" spans="1:14" x14ac:dyDescent="0.25">
      <c r="A15" s="51">
        <v>0.80400000000000005</v>
      </c>
      <c r="B15" s="53">
        <v>2267.7764999999999</v>
      </c>
      <c r="C15" s="53">
        <v>113.3888</v>
      </c>
      <c r="D15" s="53">
        <v>56.694400000000002</v>
      </c>
      <c r="E15" s="53">
        <v>56.694400000000002</v>
      </c>
      <c r="F15" s="53">
        <v>226.77760000000001</v>
      </c>
      <c r="G15" s="53">
        <v>113.3888</v>
      </c>
      <c r="H15" s="53">
        <v>113.3888</v>
      </c>
      <c r="I15" s="53">
        <v>226.77760000000001</v>
      </c>
      <c r="J15" s="53">
        <v>226.77760000000001</v>
      </c>
      <c r="K15" s="53">
        <v>680.3329</v>
      </c>
      <c r="L15" s="53">
        <v>226.77760000000001</v>
      </c>
      <c r="M15" s="53">
        <v>226.77760000000001</v>
      </c>
      <c r="N15" s="3" t="s">
        <v>69</v>
      </c>
    </row>
    <row r="16" spans="1:14" x14ac:dyDescent="0.25">
      <c r="A16" s="51">
        <v>0.80500000000000005</v>
      </c>
      <c r="B16" s="53">
        <v>2270.5971</v>
      </c>
      <c r="C16" s="53">
        <v>113.5299</v>
      </c>
      <c r="D16" s="53">
        <v>56.764899999999997</v>
      </c>
      <c r="E16" s="53">
        <v>56.764899999999997</v>
      </c>
      <c r="F16" s="53">
        <v>227.05969999999999</v>
      </c>
      <c r="G16" s="53">
        <v>113.5299</v>
      </c>
      <c r="H16" s="53">
        <v>113.5299</v>
      </c>
      <c r="I16" s="53">
        <v>227.05969999999999</v>
      </c>
      <c r="J16" s="53">
        <v>227.05969999999999</v>
      </c>
      <c r="K16" s="53">
        <v>681.17909999999995</v>
      </c>
      <c r="L16" s="53">
        <v>227.05969999999999</v>
      </c>
      <c r="M16" s="53">
        <v>227.05969999999999</v>
      </c>
      <c r="N16" s="3" t="s">
        <v>69</v>
      </c>
    </row>
    <row r="17" spans="1:14" x14ac:dyDescent="0.25">
      <c r="A17" s="51">
        <v>0.80600000000000005</v>
      </c>
      <c r="B17" s="53">
        <v>2273.4177</v>
      </c>
      <c r="C17" s="53">
        <v>113.6709</v>
      </c>
      <c r="D17" s="53">
        <v>56.8354</v>
      </c>
      <c r="E17" s="53">
        <v>56.8354</v>
      </c>
      <c r="F17" s="53">
        <v>227.34180000000001</v>
      </c>
      <c r="G17" s="53">
        <v>113.6709</v>
      </c>
      <c r="H17" s="53">
        <v>113.6709</v>
      </c>
      <c r="I17" s="53">
        <v>227.34180000000001</v>
      </c>
      <c r="J17" s="53">
        <v>227.34180000000001</v>
      </c>
      <c r="K17" s="53">
        <v>682.02530000000002</v>
      </c>
      <c r="L17" s="53">
        <v>227.34180000000001</v>
      </c>
      <c r="M17" s="53">
        <v>227.34180000000001</v>
      </c>
      <c r="N17" s="3" t="s">
        <v>69</v>
      </c>
    </row>
    <row r="18" spans="1:14" x14ac:dyDescent="0.25">
      <c r="A18" s="51">
        <v>0.80700000000000005</v>
      </c>
      <c r="B18" s="53">
        <v>2276.2383</v>
      </c>
      <c r="C18" s="53">
        <v>113.81189999999999</v>
      </c>
      <c r="D18" s="53">
        <v>56.905999999999999</v>
      </c>
      <c r="E18" s="53">
        <v>56.905999999999999</v>
      </c>
      <c r="F18" s="53">
        <v>227.62379999999999</v>
      </c>
      <c r="G18" s="53">
        <v>113.81189999999999</v>
      </c>
      <c r="H18" s="53">
        <v>113.81189999999999</v>
      </c>
      <c r="I18" s="53">
        <v>227.62379999999999</v>
      </c>
      <c r="J18" s="53">
        <v>227.62379999999999</v>
      </c>
      <c r="K18" s="53">
        <v>682.87149999999997</v>
      </c>
      <c r="L18" s="53">
        <v>227.62379999999999</v>
      </c>
      <c r="M18" s="53">
        <v>227.62379999999999</v>
      </c>
      <c r="N18" s="3" t="s">
        <v>69</v>
      </c>
    </row>
    <row r="19" spans="1:14" x14ac:dyDescent="0.25">
      <c r="A19" s="51">
        <v>0.80800000000000005</v>
      </c>
      <c r="B19" s="53">
        <v>2279.0589</v>
      </c>
      <c r="C19" s="53">
        <v>113.9529</v>
      </c>
      <c r="D19" s="53">
        <v>56.976500000000001</v>
      </c>
      <c r="E19" s="53">
        <v>56.976500000000001</v>
      </c>
      <c r="F19" s="53">
        <v>227.9059</v>
      </c>
      <c r="G19" s="53">
        <v>113.9529</v>
      </c>
      <c r="H19" s="53">
        <v>113.9529</v>
      </c>
      <c r="I19" s="53">
        <v>227.9059</v>
      </c>
      <c r="J19" s="53">
        <v>227.9059</v>
      </c>
      <c r="K19" s="53">
        <v>683.71770000000004</v>
      </c>
      <c r="L19" s="53">
        <v>227.9059</v>
      </c>
      <c r="M19" s="53">
        <v>227.9059</v>
      </c>
      <c r="N19" s="3" t="s">
        <v>69</v>
      </c>
    </row>
    <row r="20" spans="1:14" x14ac:dyDescent="0.25">
      <c r="A20" s="51">
        <v>0.80900000000000005</v>
      </c>
      <c r="B20" s="53">
        <v>2281.8796000000002</v>
      </c>
      <c r="C20" s="53">
        <v>114.09399999999999</v>
      </c>
      <c r="D20" s="53">
        <v>57.046999999999997</v>
      </c>
      <c r="E20" s="53">
        <v>57.046999999999997</v>
      </c>
      <c r="F20" s="53">
        <v>228.18799999999999</v>
      </c>
      <c r="G20" s="53">
        <v>114.09399999999999</v>
      </c>
      <c r="H20" s="53">
        <v>114.09399999999999</v>
      </c>
      <c r="I20" s="53">
        <v>228.18799999999999</v>
      </c>
      <c r="J20" s="53">
        <v>228.18799999999999</v>
      </c>
      <c r="K20" s="53">
        <v>684.56389999999999</v>
      </c>
      <c r="L20" s="53">
        <v>228.18799999999999</v>
      </c>
      <c r="M20" s="53">
        <v>228.18799999999999</v>
      </c>
      <c r="N20" s="3" t="s">
        <v>69</v>
      </c>
    </row>
    <row r="21" spans="1:14" x14ac:dyDescent="0.25">
      <c r="A21" s="51">
        <v>0.81</v>
      </c>
      <c r="B21" s="53">
        <v>2284.7002000000002</v>
      </c>
      <c r="C21" s="53">
        <v>114.235</v>
      </c>
      <c r="D21" s="53">
        <v>57.1175</v>
      </c>
      <c r="E21" s="53">
        <v>57.1175</v>
      </c>
      <c r="F21" s="53">
        <v>228.47</v>
      </c>
      <c r="G21" s="53">
        <v>114.235</v>
      </c>
      <c r="H21" s="53">
        <v>114.235</v>
      </c>
      <c r="I21" s="53">
        <v>228.47</v>
      </c>
      <c r="J21" s="53">
        <v>228.47</v>
      </c>
      <c r="K21" s="53">
        <v>685.41010000000006</v>
      </c>
      <c r="L21" s="53">
        <v>228.47</v>
      </c>
      <c r="M21" s="53">
        <v>228.47</v>
      </c>
      <c r="N21" s="3" t="s">
        <v>69</v>
      </c>
    </row>
    <row r="22" spans="1:14" x14ac:dyDescent="0.25">
      <c r="A22" s="51">
        <v>0.81100000000000005</v>
      </c>
      <c r="B22" s="53">
        <v>2287.5207999999998</v>
      </c>
      <c r="C22" s="53">
        <v>114.376</v>
      </c>
      <c r="D22" s="53">
        <v>57.188000000000002</v>
      </c>
      <c r="E22" s="53">
        <v>57.188000000000002</v>
      </c>
      <c r="F22" s="53">
        <v>228.75210000000001</v>
      </c>
      <c r="G22" s="53">
        <v>114.376</v>
      </c>
      <c r="H22" s="53">
        <v>114.376</v>
      </c>
      <c r="I22" s="53">
        <v>228.75210000000001</v>
      </c>
      <c r="J22" s="53">
        <v>228.75210000000001</v>
      </c>
      <c r="K22" s="53">
        <v>686.25620000000004</v>
      </c>
      <c r="L22" s="53">
        <v>228.75210000000001</v>
      </c>
      <c r="M22" s="53">
        <v>228.75210000000001</v>
      </c>
      <c r="N22" s="3" t="s">
        <v>69</v>
      </c>
    </row>
    <row r="23" spans="1:14" x14ac:dyDescent="0.25">
      <c r="A23" s="51">
        <v>0.81200000000000006</v>
      </c>
      <c r="B23" s="53">
        <v>2290.3413999999998</v>
      </c>
      <c r="C23" s="53">
        <v>114.5171</v>
      </c>
      <c r="D23" s="53">
        <v>57.258499999999998</v>
      </c>
      <c r="E23" s="53">
        <v>57.258499999999998</v>
      </c>
      <c r="F23" s="53">
        <v>229.0341</v>
      </c>
      <c r="G23" s="53">
        <v>114.5171</v>
      </c>
      <c r="H23" s="53">
        <v>114.5171</v>
      </c>
      <c r="I23" s="53">
        <v>229.0341</v>
      </c>
      <c r="J23" s="53">
        <v>229.0341</v>
      </c>
      <c r="K23" s="53">
        <v>687.10239999999999</v>
      </c>
      <c r="L23" s="53">
        <v>229.0341</v>
      </c>
      <c r="M23" s="53">
        <v>229.0341</v>
      </c>
      <c r="N23" s="3" t="s">
        <v>69</v>
      </c>
    </row>
    <row r="24" spans="1:14" x14ac:dyDescent="0.25">
      <c r="A24" s="51">
        <v>0.81299999999999994</v>
      </c>
      <c r="B24" s="53">
        <v>2293.1619999999998</v>
      </c>
      <c r="C24" s="53">
        <v>114.6581</v>
      </c>
      <c r="D24" s="53">
        <v>57.329099999999997</v>
      </c>
      <c r="E24" s="53">
        <v>57.329099999999997</v>
      </c>
      <c r="F24" s="53">
        <v>229.31620000000001</v>
      </c>
      <c r="G24" s="53">
        <v>114.6581</v>
      </c>
      <c r="H24" s="53">
        <v>114.6581</v>
      </c>
      <c r="I24" s="53">
        <v>229.31620000000001</v>
      </c>
      <c r="J24" s="53">
        <v>229.31620000000001</v>
      </c>
      <c r="K24" s="53">
        <v>687.94860000000006</v>
      </c>
      <c r="L24" s="53">
        <v>229.31620000000001</v>
      </c>
      <c r="M24" s="53">
        <v>229.31620000000001</v>
      </c>
      <c r="N24" s="3" t="s">
        <v>69</v>
      </c>
    </row>
    <row r="25" spans="1:14" x14ac:dyDescent="0.25">
      <c r="A25" s="51">
        <v>0.81399999999999995</v>
      </c>
      <c r="B25" s="53">
        <v>2295.9825999999998</v>
      </c>
      <c r="C25" s="53">
        <v>114.7991</v>
      </c>
      <c r="D25" s="53">
        <v>57.3996</v>
      </c>
      <c r="E25" s="53">
        <v>57.3996</v>
      </c>
      <c r="F25" s="53">
        <v>229.59829999999999</v>
      </c>
      <c r="G25" s="53">
        <v>114.7991</v>
      </c>
      <c r="H25" s="53">
        <v>114.7991</v>
      </c>
      <c r="I25" s="53">
        <v>229.59829999999999</v>
      </c>
      <c r="J25" s="53">
        <v>229.59829999999999</v>
      </c>
      <c r="K25" s="53">
        <v>688.79480000000001</v>
      </c>
      <c r="L25" s="53">
        <v>229.59829999999999</v>
      </c>
      <c r="M25" s="53">
        <v>229.59829999999999</v>
      </c>
      <c r="N25" s="3" t="s">
        <v>69</v>
      </c>
    </row>
    <row r="26" spans="1:14" x14ac:dyDescent="0.25">
      <c r="A26" s="51">
        <v>0.81499999999999995</v>
      </c>
      <c r="B26" s="53">
        <v>2298.8033</v>
      </c>
      <c r="C26" s="53">
        <v>114.9402</v>
      </c>
      <c r="D26" s="53">
        <v>57.470100000000002</v>
      </c>
      <c r="E26" s="53">
        <v>57.470100000000002</v>
      </c>
      <c r="F26" s="53">
        <v>229.88030000000001</v>
      </c>
      <c r="G26" s="53">
        <v>114.9402</v>
      </c>
      <c r="H26" s="53">
        <v>114.9402</v>
      </c>
      <c r="I26" s="53">
        <v>229.88030000000001</v>
      </c>
      <c r="J26" s="53">
        <v>229.88030000000001</v>
      </c>
      <c r="K26" s="53">
        <v>689.64099999999996</v>
      </c>
      <c r="L26" s="53">
        <v>229.88030000000001</v>
      </c>
      <c r="M26" s="53">
        <v>229.88030000000001</v>
      </c>
      <c r="N26" s="3" t="s">
        <v>69</v>
      </c>
    </row>
    <row r="27" spans="1:14" x14ac:dyDescent="0.25">
      <c r="A27" s="51">
        <v>0.81599999999999995</v>
      </c>
      <c r="B27" s="53">
        <v>2301.6239</v>
      </c>
      <c r="C27" s="53">
        <v>115.0812</v>
      </c>
      <c r="D27" s="53">
        <v>57.540599999999998</v>
      </c>
      <c r="E27" s="53">
        <v>57.540599999999998</v>
      </c>
      <c r="F27" s="53">
        <v>230.16239999999999</v>
      </c>
      <c r="G27" s="53">
        <v>115.0812</v>
      </c>
      <c r="H27" s="53">
        <v>115.0812</v>
      </c>
      <c r="I27" s="53">
        <v>230.16239999999999</v>
      </c>
      <c r="J27" s="53">
        <v>230.16239999999999</v>
      </c>
      <c r="K27" s="53">
        <v>690.48720000000003</v>
      </c>
      <c r="L27" s="53">
        <v>230.16239999999999</v>
      </c>
      <c r="M27" s="53">
        <v>230.16239999999999</v>
      </c>
      <c r="N27" s="3" t="s">
        <v>69</v>
      </c>
    </row>
    <row r="28" spans="1:14" x14ac:dyDescent="0.25">
      <c r="A28" s="51">
        <v>0.81699999999999995</v>
      </c>
      <c r="B28" s="53">
        <v>2304.4445000000001</v>
      </c>
      <c r="C28" s="53">
        <v>115.2222</v>
      </c>
      <c r="D28" s="53">
        <v>57.6111</v>
      </c>
      <c r="E28" s="53">
        <v>57.6111</v>
      </c>
      <c r="F28" s="53">
        <v>230.4444</v>
      </c>
      <c r="G28" s="53">
        <v>115.2222</v>
      </c>
      <c r="H28" s="53">
        <v>115.2222</v>
      </c>
      <c r="I28" s="53">
        <v>230.4444</v>
      </c>
      <c r="J28" s="53">
        <v>230.4444</v>
      </c>
      <c r="K28" s="53">
        <v>691.33330000000001</v>
      </c>
      <c r="L28" s="53">
        <v>230.4444</v>
      </c>
      <c r="M28" s="53">
        <v>230.4444</v>
      </c>
      <c r="N28" s="3" t="s">
        <v>69</v>
      </c>
    </row>
    <row r="29" spans="1:14" x14ac:dyDescent="0.25">
      <c r="A29" s="51">
        <v>0.81799999999999995</v>
      </c>
      <c r="B29" s="53">
        <v>2307.2651000000001</v>
      </c>
      <c r="C29" s="53">
        <v>115.3633</v>
      </c>
      <c r="D29" s="53">
        <v>57.681600000000003</v>
      </c>
      <c r="E29" s="53">
        <v>57.681600000000003</v>
      </c>
      <c r="F29" s="53">
        <v>230.72649999999999</v>
      </c>
      <c r="G29" s="53">
        <v>115.3633</v>
      </c>
      <c r="H29" s="53">
        <v>115.3633</v>
      </c>
      <c r="I29" s="53">
        <v>230.72649999999999</v>
      </c>
      <c r="J29" s="53">
        <v>230.72649999999999</v>
      </c>
      <c r="K29" s="53">
        <v>692.17949999999996</v>
      </c>
      <c r="L29" s="53">
        <v>230.72649999999999</v>
      </c>
      <c r="M29" s="53">
        <v>230.72649999999999</v>
      </c>
      <c r="N29" s="3" t="s">
        <v>69</v>
      </c>
    </row>
    <row r="30" spans="1:14" x14ac:dyDescent="0.25">
      <c r="A30" s="51">
        <v>0.81899999999999995</v>
      </c>
      <c r="B30" s="53">
        <v>2310.0857000000001</v>
      </c>
      <c r="C30" s="53">
        <v>115.5043</v>
      </c>
      <c r="D30" s="53">
        <v>57.752099999999999</v>
      </c>
      <c r="E30" s="53">
        <v>57.752099999999999</v>
      </c>
      <c r="F30" s="53">
        <v>231.0086</v>
      </c>
      <c r="G30" s="53">
        <v>115.5043</v>
      </c>
      <c r="H30" s="53">
        <v>115.5043</v>
      </c>
      <c r="I30" s="53">
        <v>231.0086</v>
      </c>
      <c r="J30" s="53">
        <v>231.0086</v>
      </c>
      <c r="K30" s="53">
        <v>693.02570000000003</v>
      </c>
      <c r="L30" s="53">
        <v>231.0086</v>
      </c>
      <c r="M30" s="53">
        <v>231.0086</v>
      </c>
      <c r="N30" s="3" t="s">
        <v>69</v>
      </c>
    </row>
    <row r="31" spans="1:14" x14ac:dyDescent="0.25">
      <c r="A31" s="51">
        <v>0.82</v>
      </c>
      <c r="B31" s="53">
        <v>2312.9063000000001</v>
      </c>
      <c r="C31" s="53">
        <v>115.64530000000001</v>
      </c>
      <c r="D31" s="53">
        <v>57.822699999999998</v>
      </c>
      <c r="E31" s="53">
        <v>57.822699999999998</v>
      </c>
      <c r="F31" s="53">
        <v>231.29060000000001</v>
      </c>
      <c r="G31" s="53">
        <v>115.64530000000001</v>
      </c>
      <c r="H31" s="53">
        <v>115.64530000000001</v>
      </c>
      <c r="I31" s="53">
        <v>231.29060000000001</v>
      </c>
      <c r="J31" s="53">
        <v>231.29060000000001</v>
      </c>
      <c r="K31" s="53">
        <v>693.87189999999998</v>
      </c>
      <c r="L31" s="53">
        <v>231.29060000000001</v>
      </c>
      <c r="M31" s="53">
        <v>231.29060000000001</v>
      </c>
      <c r="N31" s="3" t="s">
        <v>69</v>
      </c>
    </row>
    <row r="32" spans="1:14" x14ac:dyDescent="0.25">
      <c r="A32" s="51">
        <v>0.82099999999999995</v>
      </c>
      <c r="B32" s="53">
        <v>2315.7269999999999</v>
      </c>
      <c r="C32" s="53">
        <v>115.7863</v>
      </c>
      <c r="D32" s="53">
        <v>57.8932</v>
      </c>
      <c r="E32" s="53">
        <v>57.8932</v>
      </c>
      <c r="F32" s="53">
        <v>231.5727</v>
      </c>
      <c r="G32" s="53">
        <v>115.7863</v>
      </c>
      <c r="H32" s="53">
        <v>115.7863</v>
      </c>
      <c r="I32" s="53">
        <v>231.5727</v>
      </c>
      <c r="J32" s="53">
        <v>231.5727</v>
      </c>
      <c r="K32" s="53">
        <v>694.71810000000005</v>
      </c>
      <c r="L32" s="53">
        <v>231.5727</v>
      </c>
      <c r="M32" s="53">
        <v>231.5727</v>
      </c>
      <c r="N32" s="3" t="s">
        <v>69</v>
      </c>
    </row>
    <row r="33" spans="1:14" x14ac:dyDescent="0.25">
      <c r="A33" s="51">
        <v>0.82199999999999995</v>
      </c>
      <c r="B33" s="53">
        <v>2318.5475999999999</v>
      </c>
      <c r="C33" s="53">
        <v>115.92740000000001</v>
      </c>
      <c r="D33" s="53">
        <v>57.963700000000003</v>
      </c>
      <c r="E33" s="53">
        <v>57.963700000000003</v>
      </c>
      <c r="F33" s="53">
        <v>231.85480000000001</v>
      </c>
      <c r="G33" s="53">
        <v>115.92740000000001</v>
      </c>
      <c r="H33" s="53">
        <v>115.92740000000001</v>
      </c>
      <c r="I33" s="53">
        <v>231.85480000000001</v>
      </c>
      <c r="J33" s="53">
        <v>231.85480000000001</v>
      </c>
      <c r="K33" s="53">
        <v>695.5643</v>
      </c>
      <c r="L33" s="53">
        <v>231.85480000000001</v>
      </c>
      <c r="M33" s="53">
        <v>231.85480000000001</v>
      </c>
      <c r="N33" s="3" t="s">
        <v>69</v>
      </c>
    </row>
    <row r="34" spans="1:14" x14ac:dyDescent="0.25">
      <c r="A34" s="51">
        <v>0.82299999999999995</v>
      </c>
      <c r="B34" s="53">
        <v>2321.3681999999999</v>
      </c>
      <c r="C34" s="53">
        <v>116.0684</v>
      </c>
      <c r="D34" s="53">
        <v>58.034199999999998</v>
      </c>
      <c r="E34" s="53">
        <v>58.034199999999998</v>
      </c>
      <c r="F34" s="53">
        <v>232.13679999999999</v>
      </c>
      <c r="G34" s="53">
        <v>116.0684</v>
      </c>
      <c r="H34" s="53">
        <v>116.0684</v>
      </c>
      <c r="I34" s="53">
        <v>232.13679999999999</v>
      </c>
      <c r="J34" s="53">
        <v>232.13679999999999</v>
      </c>
      <c r="K34" s="53">
        <v>696.41049999999996</v>
      </c>
      <c r="L34" s="53">
        <v>232.13679999999999</v>
      </c>
      <c r="M34" s="53">
        <v>232.13679999999999</v>
      </c>
      <c r="N34" s="3" t="s">
        <v>69</v>
      </c>
    </row>
    <row r="35" spans="1:14" x14ac:dyDescent="0.25">
      <c r="A35" s="51">
        <v>0.82399999999999995</v>
      </c>
      <c r="B35" s="53">
        <v>2324.1887999999999</v>
      </c>
      <c r="C35" s="53">
        <v>116.2094</v>
      </c>
      <c r="D35" s="53">
        <v>58.104700000000001</v>
      </c>
      <c r="E35" s="53">
        <v>58.104700000000001</v>
      </c>
      <c r="F35" s="53">
        <v>232.41890000000001</v>
      </c>
      <c r="G35" s="53">
        <v>116.2094</v>
      </c>
      <c r="H35" s="53">
        <v>116.2094</v>
      </c>
      <c r="I35" s="53">
        <v>232.41890000000001</v>
      </c>
      <c r="J35" s="53">
        <v>232.41890000000001</v>
      </c>
      <c r="K35" s="53">
        <v>697.25660000000005</v>
      </c>
      <c r="L35" s="53">
        <v>232.41890000000001</v>
      </c>
      <c r="M35" s="53">
        <v>232.41890000000001</v>
      </c>
      <c r="N35" s="3" t="s">
        <v>69</v>
      </c>
    </row>
    <row r="36" spans="1:14" x14ac:dyDescent="0.25">
      <c r="A36" s="51">
        <v>0.82499999999999996</v>
      </c>
      <c r="B36" s="53">
        <v>2327.0093999999999</v>
      </c>
      <c r="C36" s="53">
        <v>116.3505</v>
      </c>
      <c r="D36" s="53">
        <v>58.175199999999997</v>
      </c>
      <c r="E36" s="53">
        <v>58.175199999999997</v>
      </c>
      <c r="F36" s="53">
        <v>232.70089999999999</v>
      </c>
      <c r="G36" s="53">
        <v>116.3505</v>
      </c>
      <c r="H36" s="53">
        <v>116.3505</v>
      </c>
      <c r="I36" s="53">
        <v>232.70089999999999</v>
      </c>
      <c r="J36" s="53">
        <v>232.70089999999999</v>
      </c>
      <c r="K36" s="53">
        <v>698.1028</v>
      </c>
      <c r="L36" s="53">
        <v>232.70089999999999</v>
      </c>
      <c r="M36" s="53">
        <v>232.70089999999999</v>
      </c>
      <c r="N36" s="3" t="s">
        <v>69</v>
      </c>
    </row>
    <row r="37" spans="1:14" x14ac:dyDescent="0.25">
      <c r="A37" s="51">
        <v>0.82599999999999996</v>
      </c>
      <c r="B37" s="53">
        <v>2329.8301000000001</v>
      </c>
      <c r="C37" s="53">
        <v>116.4915</v>
      </c>
      <c r="D37" s="53">
        <v>58.245800000000003</v>
      </c>
      <c r="E37" s="53">
        <v>58.245800000000003</v>
      </c>
      <c r="F37" s="53">
        <v>232.983</v>
      </c>
      <c r="G37" s="53">
        <v>116.4915</v>
      </c>
      <c r="H37" s="53">
        <v>116.4915</v>
      </c>
      <c r="I37" s="53">
        <v>232.983</v>
      </c>
      <c r="J37" s="53">
        <v>232.983</v>
      </c>
      <c r="K37" s="53">
        <v>698.94899999999996</v>
      </c>
      <c r="L37" s="53">
        <v>232.983</v>
      </c>
      <c r="M37" s="53">
        <v>232.983</v>
      </c>
      <c r="N37" s="3" t="s">
        <v>69</v>
      </c>
    </row>
    <row r="38" spans="1:14" x14ac:dyDescent="0.25">
      <c r="A38" s="51">
        <v>0.82699999999999996</v>
      </c>
      <c r="B38" s="53">
        <v>2332.6507000000001</v>
      </c>
      <c r="C38" s="53">
        <v>116.63249999999999</v>
      </c>
      <c r="D38" s="53">
        <v>58.316299999999998</v>
      </c>
      <c r="E38" s="53">
        <v>58.316299999999998</v>
      </c>
      <c r="F38" s="53">
        <v>233.26509999999999</v>
      </c>
      <c r="G38" s="53">
        <v>116.63249999999999</v>
      </c>
      <c r="H38" s="53">
        <v>116.63249999999999</v>
      </c>
      <c r="I38" s="53">
        <v>233.26509999999999</v>
      </c>
      <c r="J38" s="53">
        <v>233.26509999999999</v>
      </c>
      <c r="K38" s="53">
        <v>699.79520000000002</v>
      </c>
      <c r="L38" s="53">
        <v>233.26509999999999</v>
      </c>
      <c r="M38" s="53">
        <v>233.26509999999999</v>
      </c>
      <c r="N38" s="3" t="s">
        <v>69</v>
      </c>
    </row>
    <row r="39" spans="1:14" x14ac:dyDescent="0.25">
      <c r="A39" s="51">
        <v>0.82799999999999996</v>
      </c>
      <c r="B39" s="53">
        <v>2335.4713000000002</v>
      </c>
      <c r="C39" s="53">
        <v>116.7736</v>
      </c>
      <c r="D39" s="53">
        <v>58.386800000000001</v>
      </c>
      <c r="E39" s="53">
        <v>58.386800000000001</v>
      </c>
      <c r="F39" s="53">
        <v>233.5471</v>
      </c>
      <c r="G39" s="53">
        <v>116.7736</v>
      </c>
      <c r="H39" s="53">
        <v>116.7736</v>
      </c>
      <c r="I39" s="53">
        <v>233.5471</v>
      </c>
      <c r="J39" s="53">
        <v>233.5471</v>
      </c>
      <c r="K39" s="53">
        <v>700.64139999999998</v>
      </c>
      <c r="L39" s="53">
        <v>233.5471</v>
      </c>
      <c r="M39" s="53">
        <v>233.5471</v>
      </c>
      <c r="N39" s="3" t="s">
        <v>69</v>
      </c>
    </row>
    <row r="40" spans="1:14" x14ac:dyDescent="0.25">
      <c r="A40" s="51">
        <v>0.82899999999999996</v>
      </c>
      <c r="B40" s="53">
        <v>2338.2919000000002</v>
      </c>
      <c r="C40" s="53">
        <v>116.91459999999999</v>
      </c>
      <c r="D40" s="53">
        <v>58.457299999999996</v>
      </c>
      <c r="E40" s="53">
        <v>58.457299999999996</v>
      </c>
      <c r="F40" s="53">
        <v>233.82919999999999</v>
      </c>
      <c r="G40" s="53">
        <v>116.91459999999999</v>
      </c>
      <c r="H40" s="53">
        <v>116.91459999999999</v>
      </c>
      <c r="I40" s="53">
        <v>233.82919999999999</v>
      </c>
      <c r="J40" s="53">
        <v>233.82919999999999</v>
      </c>
      <c r="K40" s="53">
        <v>701.48760000000004</v>
      </c>
      <c r="L40" s="53">
        <v>233.82919999999999</v>
      </c>
      <c r="M40" s="53">
        <v>233.82919999999999</v>
      </c>
      <c r="N40" s="3" t="s">
        <v>69</v>
      </c>
    </row>
    <row r="41" spans="1:14" x14ac:dyDescent="0.25">
      <c r="A41" s="51">
        <v>0.83</v>
      </c>
      <c r="B41" s="53">
        <v>2341.1125000000002</v>
      </c>
      <c r="C41" s="53">
        <v>117.0556</v>
      </c>
      <c r="D41" s="53">
        <v>58.527799999999999</v>
      </c>
      <c r="E41" s="53">
        <v>58.527799999999999</v>
      </c>
      <c r="F41" s="53">
        <v>234.1113</v>
      </c>
      <c r="G41" s="53">
        <v>117.0556</v>
      </c>
      <c r="H41" s="53">
        <v>117.0556</v>
      </c>
      <c r="I41" s="53">
        <v>234.1113</v>
      </c>
      <c r="J41" s="53">
        <v>234.1113</v>
      </c>
      <c r="K41" s="53">
        <v>702.3338</v>
      </c>
      <c r="L41" s="53">
        <v>234.1113</v>
      </c>
      <c r="M41" s="53">
        <v>234.1113</v>
      </c>
      <c r="N41" s="3" t="s">
        <v>69</v>
      </c>
    </row>
    <row r="42" spans="1:14" x14ac:dyDescent="0.25">
      <c r="A42" s="51">
        <v>0.83099999999999996</v>
      </c>
      <c r="B42" s="53">
        <v>2343.9331000000002</v>
      </c>
      <c r="C42" s="53">
        <v>117.19670000000001</v>
      </c>
      <c r="D42" s="53">
        <v>58.598300000000002</v>
      </c>
      <c r="E42" s="53">
        <v>58.598300000000002</v>
      </c>
      <c r="F42" s="53">
        <v>234.39330000000001</v>
      </c>
      <c r="G42" s="53">
        <v>117.19670000000001</v>
      </c>
      <c r="H42" s="53">
        <v>117.19670000000001</v>
      </c>
      <c r="I42" s="53">
        <v>234.39330000000001</v>
      </c>
      <c r="J42" s="53">
        <v>234.39330000000001</v>
      </c>
      <c r="K42" s="53">
        <v>703.17989999999998</v>
      </c>
      <c r="L42" s="53">
        <v>234.39330000000001</v>
      </c>
      <c r="M42" s="53">
        <v>234.39330000000001</v>
      </c>
      <c r="N42" s="3" t="s">
        <v>69</v>
      </c>
    </row>
    <row r="43" spans="1:14" x14ac:dyDescent="0.25">
      <c r="A43" s="51">
        <v>0.83199999999999996</v>
      </c>
      <c r="B43" s="53">
        <v>2346.7538</v>
      </c>
      <c r="C43" s="53">
        <v>117.3377</v>
      </c>
      <c r="D43" s="53">
        <v>58.668799999999997</v>
      </c>
      <c r="E43" s="53">
        <v>58.668799999999997</v>
      </c>
      <c r="F43" s="53">
        <v>234.6754</v>
      </c>
      <c r="G43" s="53">
        <v>117.3377</v>
      </c>
      <c r="H43" s="53">
        <v>117.3377</v>
      </c>
      <c r="I43" s="53">
        <v>234.6754</v>
      </c>
      <c r="J43" s="53">
        <v>234.6754</v>
      </c>
      <c r="K43" s="53">
        <v>704.02610000000004</v>
      </c>
      <c r="L43" s="53">
        <v>234.6754</v>
      </c>
      <c r="M43" s="53">
        <v>234.6754</v>
      </c>
      <c r="N43" s="3" t="s">
        <v>69</v>
      </c>
    </row>
    <row r="44" spans="1:14" x14ac:dyDescent="0.25">
      <c r="A44" s="51">
        <v>0.83299999999999996</v>
      </c>
      <c r="B44" s="53">
        <v>2349.5744</v>
      </c>
      <c r="C44" s="53">
        <v>117.4787</v>
      </c>
      <c r="D44" s="53">
        <v>58.739400000000003</v>
      </c>
      <c r="E44" s="53">
        <v>58.739400000000003</v>
      </c>
      <c r="F44" s="53">
        <v>234.95740000000001</v>
      </c>
      <c r="G44" s="53">
        <v>117.4787</v>
      </c>
      <c r="H44" s="53">
        <v>117.4787</v>
      </c>
      <c r="I44" s="53">
        <v>234.95740000000001</v>
      </c>
      <c r="J44" s="53">
        <v>234.95740000000001</v>
      </c>
      <c r="K44" s="53">
        <v>704.8723</v>
      </c>
      <c r="L44" s="53">
        <v>234.95740000000001</v>
      </c>
      <c r="M44" s="53">
        <v>234.95740000000001</v>
      </c>
      <c r="N44" s="3" t="s">
        <v>69</v>
      </c>
    </row>
    <row r="45" spans="1:14" x14ac:dyDescent="0.25">
      <c r="A45" s="51">
        <v>0.83399999999999996</v>
      </c>
      <c r="B45" s="53">
        <v>2352.395</v>
      </c>
      <c r="C45" s="53">
        <v>117.61969999999999</v>
      </c>
      <c r="D45" s="53">
        <v>58.809899999999999</v>
      </c>
      <c r="E45" s="53">
        <v>58.809899999999999</v>
      </c>
      <c r="F45" s="53">
        <v>235.23949999999999</v>
      </c>
      <c r="G45" s="53">
        <v>117.61969999999999</v>
      </c>
      <c r="H45" s="53">
        <v>117.61969999999999</v>
      </c>
      <c r="I45" s="53">
        <v>235.23949999999999</v>
      </c>
      <c r="J45" s="53">
        <v>235.23949999999999</v>
      </c>
      <c r="K45" s="53">
        <v>705.71849999999995</v>
      </c>
      <c r="L45" s="53">
        <v>235.23949999999999</v>
      </c>
      <c r="M45" s="53">
        <v>235.23949999999999</v>
      </c>
      <c r="N45" s="3" t="s">
        <v>69</v>
      </c>
    </row>
    <row r="46" spans="1:14" x14ac:dyDescent="0.25">
      <c r="A46" s="51">
        <v>0.83499999999999996</v>
      </c>
      <c r="B46" s="53">
        <v>2355.2156</v>
      </c>
      <c r="C46" s="53">
        <v>117.7608</v>
      </c>
      <c r="D46" s="53">
        <v>58.880400000000002</v>
      </c>
      <c r="E46" s="53">
        <v>58.880400000000002</v>
      </c>
      <c r="F46" s="53">
        <v>235.52160000000001</v>
      </c>
      <c r="G46" s="53">
        <v>117.7608</v>
      </c>
      <c r="H46" s="53">
        <v>117.7608</v>
      </c>
      <c r="I46" s="53">
        <v>235.52160000000001</v>
      </c>
      <c r="J46" s="53">
        <v>235.52160000000001</v>
      </c>
      <c r="K46" s="53">
        <v>706.56470000000002</v>
      </c>
      <c r="L46" s="53">
        <v>235.52160000000001</v>
      </c>
      <c r="M46" s="53">
        <v>235.52160000000001</v>
      </c>
      <c r="N46" s="3" t="s">
        <v>69</v>
      </c>
    </row>
    <row r="47" spans="1:14" x14ac:dyDescent="0.25">
      <c r="A47" s="51">
        <v>0.83599999999999997</v>
      </c>
      <c r="B47" s="53">
        <v>2358.0362</v>
      </c>
      <c r="C47" s="53">
        <v>117.90179999999999</v>
      </c>
      <c r="D47" s="53">
        <v>58.950899999999997</v>
      </c>
      <c r="E47" s="53">
        <v>58.950899999999997</v>
      </c>
      <c r="F47" s="53">
        <v>235.80359999999999</v>
      </c>
      <c r="G47" s="53">
        <v>117.90179999999999</v>
      </c>
      <c r="H47" s="53">
        <v>117.90179999999999</v>
      </c>
      <c r="I47" s="53">
        <v>235.80359999999999</v>
      </c>
      <c r="J47" s="53">
        <v>235.80359999999999</v>
      </c>
      <c r="K47" s="53">
        <v>707.41089999999997</v>
      </c>
      <c r="L47" s="53">
        <v>235.80359999999999</v>
      </c>
      <c r="M47" s="53">
        <v>235.80359999999999</v>
      </c>
      <c r="N47" s="3" t="s">
        <v>69</v>
      </c>
    </row>
    <row r="48" spans="1:14" x14ac:dyDescent="0.25">
      <c r="A48" s="51">
        <v>0.83699999999999997</v>
      </c>
      <c r="B48" s="53">
        <v>2360.8568</v>
      </c>
      <c r="C48" s="53">
        <v>118.0428</v>
      </c>
      <c r="D48" s="53">
        <v>59.0214</v>
      </c>
      <c r="E48" s="53">
        <v>59.0214</v>
      </c>
      <c r="F48" s="53">
        <v>236.0857</v>
      </c>
      <c r="G48" s="53">
        <v>118.0428</v>
      </c>
      <c r="H48" s="53">
        <v>118.0428</v>
      </c>
      <c r="I48" s="53">
        <v>236.0857</v>
      </c>
      <c r="J48" s="53">
        <v>236.0857</v>
      </c>
      <c r="K48" s="53">
        <v>708.25710000000004</v>
      </c>
      <c r="L48" s="53">
        <v>236.0857</v>
      </c>
      <c r="M48" s="53">
        <v>236.0857</v>
      </c>
      <c r="N48" s="3" t="s">
        <v>69</v>
      </c>
    </row>
    <row r="49" spans="1:14" x14ac:dyDescent="0.25">
      <c r="A49" s="51">
        <v>0.83799999999999997</v>
      </c>
      <c r="B49" s="53">
        <v>2363.6774999999998</v>
      </c>
      <c r="C49" s="53">
        <v>118.18389999999999</v>
      </c>
      <c r="D49" s="53">
        <v>59.091900000000003</v>
      </c>
      <c r="E49" s="53">
        <v>59.091900000000003</v>
      </c>
      <c r="F49" s="53">
        <v>236.36770000000001</v>
      </c>
      <c r="G49" s="53">
        <v>118.18389999999999</v>
      </c>
      <c r="H49" s="53">
        <v>118.18389999999999</v>
      </c>
      <c r="I49" s="53">
        <v>236.36770000000001</v>
      </c>
      <c r="J49" s="53">
        <v>236.36770000000001</v>
      </c>
      <c r="K49" s="53">
        <v>709.10320000000002</v>
      </c>
      <c r="L49" s="53">
        <v>236.36770000000001</v>
      </c>
      <c r="M49" s="53">
        <v>236.36770000000001</v>
      </c>
      <c r="N49" s="3" t="s">
        <v>69</v>
      </c>
    </row>
    <row r="50" spans="1:14" x14ac:dyDescent="0.25">
      <c r="A50" s="51">
        <v>0.83899999999999997</v>
      </c>
      <c r="B50" s="53">
        <v>2366.4980999999998</v>
      </c>
      <c r="C50" s="53">
        <v>118.3249</v>
      </c>
      <c r="D50" s="53">
        <v>59.162500000000001</v>
      </c>
      <c r="E50" s="53">
        <v>59.162500000000001</v>
      </c>
      <c r="F50" s="53">
        <v>236.6498</v>
      </c>
      <c r="G50" s="53">
        <v>118.3249</v>
      </c>
      <c r="H50" s="53">
        <v>118.3249</v>
      </c>
      <c r="I50" s="53">
        <v>236.6498</v>
      </c>
      <c r="J50" s="53">
        <v>236.6498</v>
      </c>
      <c r="K50" s="53">
        <v>709.94939999999997</v>
      </c>
      <c r="L50" s="53">
        <v>236.6498</v>
      </c>
      <c r="M50" s="53">
        <v>236.6498</v>
      </c>
      <c r="N50" s="3" t="s">
        <v>69</v>
      </c>
    </row>
    <row r="51" spans="1:14" x14ac:dyDescent="0.25">
      <c r="A51" s="51">
        <v>0.84</v>
      </c>
      <c r="B51" s="53">
        <v>2369.3186999999998</v>
      </c>
      <c r="C51" s="53">
        <v>118.4659</v>
      </c>
      <c r="D51" s="53">
        <v>59.232999999999997</v>
      </c>
      <c r="E51" s="53">
        <v>59.232999999999997</v>
      </c>
      <c r="F51" s="53">
        <v>236.93190000000001</v>
      </c>
      <c r="G51" s="53">
        <v>118.4659</v>
      </c>
      <c r="H51" s="53">
        <v>118.4659</v>
      </c>
      <c r="I51" s="53">
        <v>236.93190000000001</v>
      </c>
      <c r="J51" s="53">
        <v>236.93190000000001</v>
      </c>
      <c r="K51" s="53">
        <v>710.79560000000004</v>
      </c>
      <c r="L51" s="53">
        <v>236.93190000000001</v>
      </c>
      <c r="M51" s="53">
        <v>236.93190000000001</v>
      </c>
      <c r="N51" s="3" t="s">
        <v>69</v>
      </c>
    </row>
    <row r="52" spans="1:14" x14ac:dyDescent="0.25">
      <c r="A52" s="51">
        <v>0.84099999999999997</v>
      </c>
      <c r="B52" s="53">
        <v>2372.1392999999998</v>
      </c>
      <c r="C52" s="53">
        <v>118.607</v>
      </c>
      <c r="D52" s="53">
        <v>59.3035</v>
      </c>
      <c r="E52" s="53">
        <v>59.3035</v>
      </c>
      <c r="F52" s="53">
        <v>237.2139</v>
      </c>
      <c r="G52" s="53">
        <v>118.607</v>
      </c>
      <c r="H52" s="53">
        <v>118.607</v>
      </c>
      <c r="I52" s="53">
        <v>237.2139</v>
      </c>
      <c r="J52" s="53">
        <v>237.2139</v>
      </c>
      <c r="K52" s="53">
        <v>711.64179999999999</v>
      </c>
      <c r="L52" s="53">
        <v>237.2139</v>
      </c>
      <c r="M52" s="53">
        <v>237.2139</v>
      </c>
      <c r="N52" s="3" t="s">
        <v>69</v>
      </c>
    </row>
    <row r="53" spans="1:14" x14ac:dyDescent="0.25">
      <c r="A53" s="51">
        <v>0.84199999999999997</v>
      </c>
      <c r="B53" s="53">
        <v>2374.9598999999998</v>
      </c>
      <c r="C53" s="53">
        <v>118.748</v>
      </c>
      <c r="D53" s="53">
        <v>59.374000000000002</v>
      </c>
      <c r="E53" s="53">
        <v>59.374000000000002</v>
      </c>
      <c r="F53" s="53">
        <v>237.49600000000001</v>
      </c>
      <c r="G53" s="53">
        <v>118.748</v>
      </c>
      <c r="H53" s="53">
        <v>118.748</v>
      </c>
      <c r="I53" s="53">
        <v>237.49600000000001</v>
      </c>
      <c r="J53" s="53">
        <v>237.49600000000001</v>
      </c>
      <c r="K53" s="53">
        <v>712.48800000000006</v>
      </c>
      <c r="L53" s="53">
        <v>237.49600000000001</v>
      </c>
      <c r="M53" s="53">
        <v>237.49600000000001</v>
      </c>
      <c r="N53" s="3" t="s">
        <v>69</v>
      </c>
    </row>
    <row r="54" spans="1:14" x14ac:dyDescent="0.25">
      <c r="A54" s="51">
        <v>0.84299999999999997</v>
      </c>
      <c r="B54" s="53">
        <v>2377.7804999999998</v>
      </c>
      <c r="C54" s="53">
        <v>118.889</v>
      </c>
      <c r="D54" s="53">
        <v>59.444499999999998</v>
      </c>
      <c r="E54" s="53">
        <v>59.444499999999998</v>
      </c>
      <c r="F54" s="53">
        <v>237.77809999999999</v>
      </c>
      <c r="G54" s="53">
        <v>118.889</v>
      </c>
      <c r="H54" s="53">
        <v>118.889</v>
      </c>
      <c r="I54" s="53">
        <v>237.77809999999999</v>
      </c>
      <c r="J54" s="53">
        <v>237.77809999999999</v>
      </c>
      <c r="K54" s="53">
        <v>713.33420000000001</v>
      </c>
      <c r="L54" s="53">
        <v>237.77809999999999</v>
      </c>
      <c r="M54" s="53">
        <v>237.77809999999999</v>
      </c>
      <c r="N54" s="3" t="s">
        <v>69</v>
      </c>
    </row>
    <row r="55" spans="1:14" x14ac:dyDescent="0.25">
      <c r="A55" s="51">
        <v>0.84399999999999997</v>
      </c>
      <c r="B55" s="53">
        <v>2380.6012000000001</v>
      </c>
      <c r="C55" s="53">
        <v>119.0301</v>
      </c>
      <c r="D55" s="53">
        <v>59.515000000000001</v>
      </c>
      <c r="E55" s="53">
        <v>59.515000000000001</v>
      </c>
      <c r="F55" s="53">
        <v>238.06010000000001</v>
      </c>
      <c r="G55" s="53">
        <v>119.0301</v>
      </c>
      <c r="H55" s="53">
        <v>119.0301</v>
      </c>
      <c r="I55" s="53">
        <v>238.06010000000001</v>
      </c>
      <c r="J55" s="53">
        <v>238.06010000000001</v>
      </c>
      <c r="K55" s="53">
        <v>714.18029999999999</v>
      </c>
      <c r="L55" s="53">
        <v>238.06010000000001</v>
      </c>
      <c r="M55" s="53">
        <v>238.06010000000001</v>
      </c>
      <c r="N55" s="3" t="s">
        <v>69</v>
      </c>
    </row>
    <row r="56" spans="1:14" x14ac:dyDescent="0.25">
      <c r="A56" s="51">
        <v>0.84499999999999997</v>
      </c>
      <c r="B56" s="53">
        <v>2383.4218000000001</v>
      </c>
      <c r="C56" s="53">
        <v>119.1711</v>
      </c>
      <c r="D56" s="53">
        <v>59.585500000000003</v>
      </c>
      <c r="E56" s="53">
        <v>59.585500000000003</v>
      </c>
      <c r="F56" s="53">
        <v>238.34219999999999</v>
      </c>
      <c r="G56" s="53">
        <v>119.1711</v>
      </c>
      <c r="H56" s="53">
        <v>119.1711</v>
      </c>
      <c r="I56" s="53">
        <v>238.34219999999999</v>
      </c>
      <c r="J56" s="53">
        <v>238.34219999999999</v>
      </c>
      <c r="K56" s="53">
        <v>715.02650000000006</v>
      </c>
      <c r="L56" s="53">
        <v>238.34219999999999</v>
      </c>
      <c r="M56" s="53">
        <v>238.34219999999999</v>
      </c>
      <c r="N56" s="3" t="s">
        <v>69</v>
      </c>
    </row>
    <row r="57" spans="1:14" x14ac:dyDescent="0.25">
      <c r="A57" s="51">
        <v>0.84599999999999997</v>
      </c>
      <c r="B57" s="53">
        <v>2386.2424000000001</v>
      </c>
      <c r="C57" s="53">
        <v>119.3121</v>
      </c>
      <c r="D57" s="53">
        <v>59.656100000000002</v>
      </c>
      <c r="E57" s="53">
        <v>59.656100000000002</v>
      </c>
      <c r="F57" s="53">
        <v>238.6242</v>
      </c>
      <c r="G57" s="53">
        <v>119.3121</v>
      </c>
      <c r="H57" s="53">
        <v>119.3121</v>
      </c>
      <c r="I57" s="53">
        <v>238.6242</v>
      </c>
      <c r="J57" s="53">
        <v>238.6242</v>
      </c>
      <c r="K57" s="53">
        <v>715.87270000000001</v>
      </c>
      <c r="L57" s="53">
        <v>238.6242</v>
      </c>
      <c r="M57" s="53">
        <v>238.6242</v>
      </c>
      <c r="N57" s="3" t="s">
        <v>69</v>
      </c>
    </row>
    <row r="58" spans="1:14" x14ac:dyDescent="0.25">
      <c r="A58" s="51">
        <v>0.84699999999999998</v>
      </c>
      <c r="B58" s="53">
        <v>2389.0630000000001</v>
      </c>
      <c r="C58" s="53">
        <v>119.4532</v>
      </c>
      <c r="D58" s="53">
        <v>59.726599999999998</v>
      </c>
      <c r="E58" s="53">
        <v>59.726599999999998</v>
      </c>
      <c r="F58" s="53">
        <v>238.90629999999999</v>
      </c>
      <c r="G58" s="53">
        <v>119.4532</v>
      </c>
      <c r="H58" s="53">
        <v>119.4532</v>
      </c>
      <c r="I58" s="53">
        <v>238.90629999999999</v>
      </c>
      <c r="J58" s="53">
        <v>238.90629999999999</v>
      </c>
      <c r="K58" s="53">
        <v>716.71889999999996</v>
      </c>
      <c r="L58" s="53">
        <v>238.90629999999999</v>
      </c>
      <c r="M58" s="53">
        <v>238.90629999999999</v>
      </c>
      <c r="N58" s="3" t="s">
        <v>69</v>
      </c>
    </row>
    <row r="59" spans="1:14" x14ac:dyDescent="0.25">
      <c r="A59" s="51">
        <v>0.84799999999999998</v>
      </c>
      <c r="B59" s="53">
        <v>2391.8836000000001</v>
      </c>
      <c r="C59" s="53">
        <v>119.5942</v>
      </c>
      <c r="D59" s="53">
        <v>59.7971</v>
      </c>
      <c r="E59" s="53">
        <v>59.7971</v>
      </c>
      <c r="F59" s="53">
        <v>239.1884</v>
      </c>
      <c r="G59" s="53">
        <v>119.5942</v>
      </c>
      <c r="H59" s="53">
        <v>119.5942</v>
      </c>
      <c r="I59" s="53">
        <v>239.1884</v>
      </c>
      <c r="J59" s="53">
        <v>239.1884</v>
      </c>
      <c r="K59" s="53">
        <v>717.56510000000003</v>
      </c>
      <c r="L59" s="53">
        <v>239.1884</v>
      </c>
      <c r="M59" s="53">
        <v>239.1884</v>
      </c>
      <c r="N59" s="3" t="s">
        <v>69</v>
      </c>
    </row>
    <row r="60" spans="1:14" x14ac:dyDescent="0.25">
      <c r="A60" s="51">
        <v>0.84899999999999998</v>
      </c>
      <c r="B60" s="53">
        <v>2394.7042999999999</v>
      </c>
      <c r="C60" s="53">
        <v>119.73520000000001</v>
      </c>
      <c r="D60" s="53">
        <v>59.867600000000003</v>
      </c>
      <c r="E60" s="53">
        <v>59.867600000000003</v>
      </c>
      <c r="F60" s="53">
        <v>239.47040000000001</v>
      </c>
      <c r="G60" s="53">
        <v>119.73520000000001</v>
      </c>
      <c r="H60" s="53">
        <v>119.73520000000001</v>
      </c>
      <c r="I60" s="53">
        <v>239.47040000000001</v>
      </c>
      <c r="J60" s="53">
        <v>239.47040000000001</v>
      </c>
      <c r="K60" s="53">
        <v>718.41129999999998</v>
      </c>
      <c r="L60" s="53">
        <v>239.47040000000001</v>
      </c>
      <c r="M60" s="53">
        <v>239.47040000000001</v>
      </c>
      <c r="N60" s="3" t="s">
        <v>69</v>
      </c>
    </row>
    <row r="61" spans="1:14" x14ac:dyDescent="0.25">
      <c r="A61" s="51">
        <v>0.85</v>
      </c>
      <c r="B61" s="53">
        <v>2397.5248999999999</v>
      </c>
      <c r="C61" s="53">
        <v>119.8762</v>
      </c>
      <c r="D61" s="53">
        <v>59.938099999999999</v>
      </c>
      <c r="E61" s="53">
        <v>59.938099999999999</v>
      </c>
      <c r="F61" s="53">
        <v>239.7525</v>
      </c>
      <c r="G61" s="53">
        <v>119.8762</v>
      </c>
      <c r="H61" s="53">
        <v>119.8762</v>
      </c>
      <c r="I61" s="53">
        <v>239.7525</v>
      </c>
      <c r="J61" s="53">
        <v>239.7525</v>
      </c>
      <c r="K61" s="53">
        <v>719.25750000000005</v>
      </c>
      <c r="L61" s="53">
        <v>239.7525</v>
      </c>
      <c r="M61" s="53">
        <v>239.7525</v>
      </c>
      <c r="N61" s="3" t="s">
        <v>69</v>
      </c>
    </row>
    <row r="62" spans="1:14" x14ac:dyDescent="0.25">
      <c r="A62" s="51">
        <v>0.85099999999999998</v>
      </c>
      <c r="B62" s="53">
        <v>2400.3454999999999</v>
      </c>
      <c r="C62" s="53">
        <v>120.01730000000001</v>
      </c>
      <c r="D62" s="53">
        <v>60.008600000000001</v>
      </c>
      <c r="E62" s="53">
        <v>60.008600000000001</v>
      </c>
      <c r="F62" s="53">
        <v>240.03450000000001</v>
      </c>
      <c r="G62" s="53">
        <v>120.01730000000001</v>
      </c>
      <c r="H62" s="53">
        <v>120.01730000000001</v>
      </c>
      <c r="I62" s="53">
        <v>240.03450000000001</v>
      </c>
      <c r="J62" s="53">
        <v>240.03450000000001</v>
      </c>
      <c r="K62" s="53">
        <v>720.10360000000003</v>
      </c>
      <c r="L62" s="53">
        <v>240.03450000000001</v>
      </c>
      <c r="M62" s="53">
        <v>240.03450000000001</v>
      </c>
      <c r="N62" s="3" t="s">
        <v>69</v>
      </c>
    </row>
    <row r="63" spans="1:14" x14ac:dyDescent="0.25">
      <c r="A63" s="51">
        <v>0.85199999999999998</v>
      </c>
      <c r="B63" s="53">
        <v>2403.1660999999999</v>
      </c>
      <c r="C63" s="53">
        <v>120.1583</v>
      </c>
      <c r="D63" s="53">
        <v>60.0792</v>
      </c>
      <c r="E63" s="53">
        <v>60.0792</v>
      </c>
      <c r="F63" s="53">
        <v>240.31659999999999</v>
      </c>
      <c r="G63" s="53">
        <v>120.1583</v>
      </c>
      <c r="H63" s="53">
        <v>120.1583</v>
      </c>
      <c r="I63" s="53">
        <v>240.31659999999999</v>
      </c>
      <c r="J63" s="53">
        <v>240.31659999999999</v>
      </c>
      <c r="K63" s="53">
        <v>720.94979999999998</v>
      </c>
      <c r="L63" s="53">
        <v>240.31659999999999</v>
      </c>
      <c r="M63" s="53">
        <v>240.31659999999999</v>
      </c>
      <c r="N63" s="3" t="s">
        <v>69</v>
      </c>
    </row>
    <row r="64" spans="1:14" x14ac:dyDescent="0.25">
      <c r="A64" s="51">
        <v>0.85299999999999998</v>
      </c>
      <c r="B64" s="53">
        <v>2405.9866999999999</v>
      </c>
      <c r="C64" s="53">
        <v>120.2993</v>
      </c>
      <c r="D64" s="53">
        <v>60.149700000000003</v>
      </c>
      <c r="E64" s="53">
        <v>60.149700000000003</v>
      </c>
      <c r="F64" s="53">
        <v>240.59870000000001</v>
      </c>
      <c r="G64" s="53">
        <v>120.2993</v>
      </c>
      <c r="H64" s="53">
        <v>120.2993</v>
      </c>
      <c r="I64" s="53">
        <v>240.59870000000001</v>
      </c>
      <c r="J64" s="53">
        <v>240.59870000000001</v>
      </c>
      <c r="K64" s="53">
        <v>721.79600000000005</v>
      </c>
      <c r="L64" s="53">
        <v>240.59870000000001</v>
      </c>
      <c r="M64" s="53">
        <v>240.59870000000001</v>
      </c>
      <c r="N64" s="3" t="s">
        <v>69</v>
      </c>
    </row>
    <row r="65" spans="1:14" x14ac:dyDescent="0.25">
      <c r="A65" s="51">
        <v>0.85399999999999998</v>
      </c>
      <c r="B65" s="53">
        <v>2408.8072999999999</v>
      </c>
      <c r="C65" s="53">
        <v>120.4404</v>
      </c>
      <c r="D65" s="53">
        <v>60.220199999999998</v>
      </c>
      <c r="E65" s="53">
        <v>60.220199999999998</v>
      </c>
      <c r="F65" s="53">
        <v>240.88069999999999</v>
      </c>
      <c r="G65" s="53">
        <v>120.4404</v>
      </c>
      <c r="H65" s="53">
        <v>120.4404</v>
      </c>
      <c r="I65" s="53">
        <v>240.88069999999999</v>
      </c>
      <c r="J65" s="53">
        <v>240.88069999999999</v>
      </c>
      <c r="K65" s="53">
        <v>722.6422</v>
      </c>
      <c r="L65" s="53">
        <v>240.88069999999999</v>
      </c>
      <c r="M65" s="53">
        <v>240.88069999999999</v>
      </c>
      <c r="N65" s="3" t="s">
        <v>69</v>
      </c>
    </row>
    <row r="66" spans="1:14" x14ac:dyDescent="0.25">
      <c r="A66" s="51">
        <v>0.85499999999999998</v>
      </c>
      <c r="B66" s="53">
        <v>2411.6280000000002</v>
      </c>
      <c r="C66" s="53">
        <v>120.5814</v>
      </c>
      <c r="D66" s="53">
        <v>60.290700000000001</v>
      </c>
      <c r="E66" s="53">
        <v>60.290700000000001</v>
      </c>
      <c r="F66" s="53">
        <v>241.1628</v>
      </c>
      <c r="G66" s="53">
        <v>120.5814</v>
      </c>
      <c r="H66" s="53">
        <v>120.5814</v>
      </c>
      <c r="I66" s="53">
        <v>241.1628</v>
      </c>
      <c r="J66" s="53">
        <v>241.1628</v>
      </c>
      <c r="K66" s="53">
        <v>723.48839999999996</v>
      </c>
      <c r="L66" s="53">
        <v>241.1628</v>
      </c>
      <c r="M66" s="53">
        <v>241.1628</v>
      </c>
      <c r="N66" s="3" t="s">
        <v>69</v>
      </c>
    </row>
    <row r="67" spans="1:14" x14ac:dyDescent="0.25">
      <c r="A67" s="51">
        <v>0.85599999999999998</v>
      </c>
      <c r="B67" s="53">
        <v>2414.4486000000002</v>
      </c>
      <c r="C67" s="53">
        <v>120.72239999999999</v>
      </c>
      <c r="D67" s="53">
        <v>60.361199999999997</v>
      </c>
      <c r="E67" s="53">
        <v>60.361199999999997</v>
      </c>
      <c r="F67" s="53">
        <v>241.44489999999999</v>
      </c>
      <c r="G67" s="53">
        <v>120.72239999999999</v>
      </c>
      <c r="H67" s="53">
        <v>120.72239999999999</v>
      </c>
      <c r="I67" s="53">
        <v>241.44489999999999</v>
      </c>
      <c r="J67" s="53">
        <v>241.44489999999999</v>
      </c>
      <c r="K67" s="53">
        <v>724.33460000000002</v>
      </c>
      <c r="L67" s="53">
        <v>241.44489999999999</v>
      </c>
      <c r="M67" s="53">
        <v>241.44489999999999</v>
      </c>
      <c r="N67" s="3" t="s">
        <v>69</v>
      </c>
    </row>
    <row r="68" spans="1:14" x14ac:dyDescent="0.25">
      <c r="A68" s="51">
        <v>0.85699999999999998</v>
      </c>
      <c r="B68" s="53">
        <v>2417.2692000000002</v>
      </c>
      <c r="C68" s="53">
        <v>120.8635</v>
      </c>
      <c r="D68" s="53">
        <v>60.431699999999999</v>
      </c>
      <c r="E68" s="53">
        <v>60.431699999999999</v>
      </c>
      <c r="F68" s="53">
        <v>241.7269</v>
      </c>
      <c r="G68" s="53">
        <v>120.8635</v>
      </c>
      <c r="H68" s="53">
        <v>120.8635</v>
      </c>
      <c r="I68" s="53">
        <v>241.7269</v>
      </c>
      <c r="J68" s="53">
        <v>241.7269</v>
      </c>
      <c r="K68" s="53">
        <v>725.18079999999998</v>
      </c>
      <c r="L68" s="53">
        <v>241.7269</v>
      </c>
      <c r="M68" s="53">
        <v>241.7269</v>
      </c>
      <c r="N68" s="3" t="s">
        <v>69</v>
      </c>
    </row>
    <row r="69" spans="1:14" x14ac:dyDescent="0.25">
      <c r="A69" s="51">
        <v>0.85799999999999998</v>
      </c>
      <c r="B69" s="53">
        <v>2420.0898000000002</v>
      </c>
      <c r="C69" s="53">
        <v>121.00449999999999</v>
      </c>
      <c r="D69" s="53">
        <v>60.502200000000002</v>
      </c>
      <c r="E69" s="53">
        <v>60.502200000000002</v>
      </c>
      <c r="F69" s="53">
        <v>242.00899999999999</v>
      </c>
      <c r="G69" s="53">
        <v>121.00449999999999</v>
      </c>
      <c r="H69" s="53">
        <v>121.00449999999999</v>
      </c>
      <c r="I69" s="53">
        <v>242.00899999999999</v>
      </c>
      <c r="J69" s="53">
        <v>242.00899999999999</v>
      </c>
      <c r="K69" s="53">
        <v>726.02689999999996</v>
      </c>
      <c r="L69" s="53">
        <v>242.00899999999999</v>
      </c>
      <c r="M69" s="53">
        <v>242.00899999999999</v>
      </c>
      <c r="N69" s="3" t="s">
        <v>69</v>
      </c>
    </row>
    <row r="70" spans="1:14" x14ac:dyDescent="0.25">
      <c r="A70" s="51">
        <v>0.85899999999999999</v>
      </c>
      <c r="B70" s="53">
        <v>2422.9104000000002</v>
      </c>
      <c r="C70" s="53">
        <v>121.1455</v>
      </c>
      <c r="D70" s="53">
        <v>60.572800000000001</v>
      </c>
      <c r="E70" s="53">
        <v>60.572800000000001</v>
      </c>
      <c r="F70" s="53">
        <v>242.291</v>
      </c>
      <c r="G70" s="53">
        <v>121.1455</v>
      </c>
      <c r="H70" s="53">
        <v>121.1455</v>
      </c>
      <c r="I70" s="53">
        <v>242.291</v>
      </c>
      <c r="J70" s="53">
        <v>242.291</v>
      </c>
      <c r="K70" s="53">
        <v>726.87310000000002</v>
      </c>
      <c r="L70" s="53">
        <v>242.291</v>
      </c>
      <c r="M70" s="53">
        <v>242.291</v>
      </c>
      <c r="N70" s="3" t="s">
        <v>69</v>
      </c>
    </row>
    <row r="71" spans="1:14" x14ac:dyDescent="0.25">
      <c r="A71" s="51">
        <v>0.86</v>
      </c>
      <c r="B71" s="53">
        <v>2425.7310000000002</v>
      </c>
      <c r="C71" s="53">
        <v>121.28660000000001</v>
      </c>
      <c r="D71" s="53">
        <v>60.643300000000004</v>
      </c>
      <c r="E71" s="53">
        <v>60.643300000000004</v>
      </c>
      <c r="F71" s="53">
        <v>242.57310000000001</v>
      </c>
      <c r="G71" s="53">
        <v>121.28660000000001</v>
      </c>
      <c r="H71" s="53">
        <v>121.28660000000001</v>
      </c>
      <c r="I71" s="53">
        <v>242.57310000000001</v>
      </c>
      <c r="J71" s="53">
        <v>242.57310000000001</v>
      </c>
      <c r="K71" s="53">
        <v>727.71929999999998</v>
      </c>
      <c r="L71" s="53">
        <v>242.57310000000001</v>
      </c>
      <c r="M71" s="53">
        <v>242.57310000000001</v>
      </c>
      <c r="N71" s="3" t="s">
        <v>69</v>
      </c>
    </row>
    <row r="72" spans="1:14" x14ac:dyDescent="0.25">
      <c r="A72" s="51">
        <v>0.86099999999999999</v>
      </c>
      <c r="B72" s="53">
        <v>2428.5517</v>
      </c>
      <c r="C72" s="53">
        <v>121.4276</v>
      </c>
      <c r="D72" s="53">
        <v>60.713799999999999</v>
      </c>
      <c r="E72" s="53">
        <v>60.713799999999999</v>
      </c>
      <c r="F72" s="53">
        <v>242.8552</v>
      </c>
      <c r="G72" s="53">
        <v>121.4276</v>
      </c>
      <c r="H72" s="53">
        <v>121.4276</v>
      </c>
      <c r="I72" s="53">
        <v>242.8552</v>
      </c>
      <c r="J72" s="53">
        <v>242.8552</v>
      </c>
      <c r="K72" s="53">
        <v>728.56550000000004</v>
      </c>
      <c r="L72" s="53">
        <v>242.8552</v>
      </c>
      <c r="M72" s="53">
        <v>242.8552</v>
      </c>
      <c r="N72" s="3" t="s">
        <v>69</v>
      </c>
    </row>
    <row r="73" spans="1:14" x14ac:dyDescent="0.25">
      <c r="A73" s="51">
        <v>0.86199999999999999</v>
      </c>
      <c r="B73" s="53">
        <v>2431.3723</v>
      </c>
      <c r="C73" s="53">
        <v>121.5686</v>
      </c>
      <c r="D73" s="53">
        <v>60.784300000000002</v>
      </c>
      <c r="E73" s="53">
        <v>60.784300000000002</v>
      </c>
      <c r="F73" s="53">
        <v>243.13720000000001</v>
      </c>
      <c r="G73" s="53">
        <v>121.5686</v>
      </c>
      <c r="H73" s="53">
        <v>121.5686</v>
      </c>
      <c r="I73" s="53">
        <v>243.13720000000001</v>
      </c>
      <c r="J73" s="53">
        <v>243.13720000000001</v>
      </c>
      <c r="K73" s="53">
        <v>729.4117</v>
      </c>
      <c r="L73" s="53">
        <v>243.13720000000001</v>
      </c>
      <c r="M73" s="53">
        <v>243.13720000000001</v>
      </c>
      <c r="N73" s="3" t="s">
        <v>69</v>
      </c>
    </row>
    <row r="74" spans="1:14" x14ac:dyDescent="0.25">
      <c r="A74" s="51">
        <v>0.86299999999999999</v>
      </c>
      <c r="B74" s="53">
        <v>2434.1929</v>
      </c>
      <c r="C74" s="53">
        <v>121.70959999999999</v>
      </c>
      <c r="D74" s="53">
        <v>60.854799999999997</v>
      </c>
      <c r="E74" s="53">
        <v>60.854799999999997</v>
      </c>
      <c r="F74" s="53">
        <v>243.41929999999999</v>
      </c>
      <c r="G74" s="53">
        <v>121.70959999999999</v>
      </c>
      <c r="H74" s="53">
        <v>121.70959999999999</v>
      </c>
      <c r="I74" s="53">
        <v>243.41929999999999</v>
      </c>
      <c r="J74" s="53">
        <v>243.41929999999999</v>
      </c>
      <c r="K74" s="53">
        <v>730.25789999999995</v>
      </c>
      <c r="L74" s="53">
        <v>243.41929999999999</v>
      </c>
      <c r="M74" s="53">
        <v>243.41929999999999</v>
      </c>
      <c r="N74" s="3" t="s">
        <v>69</v>
      </c>
    </row>
    <row r="75" spans="1:14" x14ac:dyDescent="0.25">
      <c r="A75" s="51">
        <v>0.86399999999999999</v>
      </c>
      <c r="B75" s="53">
        <v>2437.0135</v>
      </c>
      <c r="C75" s="53">
        <v>121.8507</v>
      </c>
      <c r="D75" s="53">
        <v>60.9253</v>
      </c>
      <c r="E75" s="53">
        <v>60.9253</v>
      </c>
      <c r="F75" s="53">
        <v>243.70140000000001</v>
      </c>
      <c r="G75" s="53">
        <v>121.8507</v>
      </c>
      <c r="H75" s="53">
        <v>121.8507</v>
      </c>
      <c r="I75" s="53">
        <v>243.70140000000001</v>
      </c>
      <c r="J75" s="53">
        <v>243.70140000000001</v>
      </c>
      <c r="K75" s="53">
        <v>731.10410000000002</v>
      </c>
      <c r="L75" s="53">
        <v>243.70140000000001</v>
      </c>
      <c r="M75" s="53">
        <v>243.70140000000001</v>
      </c>
      <c r="N75" s="3" t="s">
        <v>69</v>
      </c>
    </row>
    <row r="76" spans="1:14" x14ac:dyDescent="0.25">
      <c r="A76" s="51">
        <v>0.86499999999999999</v>
      </c>
      <c r="B76" s="53">
        <v>2439.8341</v>
      </c>
      <c r="C76" s="53">
        <v>121.99169999999999</v>
      </c>
      <c r="D76" s="53">
        <v>60.995899999999999</v>
      </c>
      <c r="E76" s="53">
        <v>60.995899999999999</v>
      </c>
      <c r="F76" s="53">
        <v>243.98339999999999</v>
      </c>
      <c r="G76" s="53">
        <v>121.99169999999999</v>
      </c>
      <c r="H76" s="53">
        <v>121.99169999999999</v>
      </c>
      <c r="I76" s="53">
        <v>243.98339999999999</v>
      </c>
      <c r="J76" s="53">
        <v>243.98339999999999</v>
      </c>
      <c r="K76" s="53">
        <v>731.9502</v>
      </c>
      <c r="L76" s="53">
        <v>243.98339999999999</v>
      </c>
      <c r="M76" s="53">
        <v>243.98339999999999</v>
      </c>
      <c r="N76" s="3" t="s">
        <v>69</v>
      </c>
    </row>
    <row r="77" spans="1:14" x14ac:dyDescent="0.25">
      <c r="A77" s="51">
        <v>0.86599999999999999</v>
      </c>
      <c r="B77" s="53">
        <v>2442.6547999999998</v>
      </c>
      <c r="C77" s="53">
        <v>122.1327</v>
      </c>
      <c r="D77" s="53">
        <v>61.066400000000002</v>
      </c>
      <c r="E77" s="53">
        <v>61.066400000000002</v>
      </c>
      <c r="F77" s="53">
        <v>244.2655</v>
      </c>
      <c r="G77" s="53">
        <v>122.1327</v>
      </c>
      <c r="H77" s="53">
        <v>122.1327</v>
      </c>
      <c r="I77" s="53">
        <v>244.2655</v>
      </c>
      <c r="J77" s="53">
        <v>244.2655</v>
      </c>
      <c r="K77" s="53">
        <v>732.79639999999995</v>
      </c>
      <c r="L77" s="53">
        <v>244.2655</v>
      </c>
      <c r="M77" s="53">
        <v>244.2655</v>
      </c>
      <c r="N77" s="3" t="s">
        <v>69</v>
      </c>
    </row>
    <row r="78" spans="1:14" x14ac:dyDescent="0.25">
      <c r="A78" s="51">
        <v>0.86699999999999999</v>
      </c>
      <c r="B78" s="53">
        <v>2445.4753999999998</v>
      </c>
      <c r="C78" s="53">
        <v>122.27379999999999</v>
      </c>
      <c r="D78" s="53">
        <v>61.136899999999997</v>
      </c>
      <c r="E78" s="53">
        <v>61.136899999999997</v>
      </c>
      <c r="F78" s="53">
        <v>244.54750000000001</v>
      </c>
      <c r="G78" s="53">
        <v>122.27379999999999</v>
      </c>
      <c r="H78" s="53">
        <v>122.27379999999999</v>
      </c>
      <c r="I78" s="53">
        <v>244.54750000000001</v>
      </c>
      <c r="J78" s="53">
        <v>244.54750000000001</v>
      </c>
      <c r="K78" s="53">
        <v>733.64260000000002</v>
      </c>
      <c r="L78" s="53">
        <v>244.54750000000001</v>
      </c>
      <c r="M78" s="53">
        <v>244.54750000000001</v>
      </c>
      <c r="N78" s="3" t="s">
        <v>69</v>
      </c>
    </row>
    <row r="79" spans="1:14" x14ac:dyDescent="0.25">
      <c r="A79" s="51">
        <v>0.86799999999999999</v>
      </c>
      <c r="B79" s="53">
        <v>2448.2959999999998</v>
      </c>
      <c r="C79" s="53">
        <v>122.4148</v>
      </c>
      <c r="D79" s="53">
        <v>61.2074</v>
      </c>
      <c r="E79" s="53">
        <v>61.2074</v>
      </c>
      <c r="F79" s="53">
        <v>244.8296</v>
      </c>
      <c r="G79" s="53">
        <v>122.4148</v>
      </c>
      <c r="H79" s="53">
        <v>122.4148</v>
      </c>
      <c r="I79" s="53">
        <v>244.8296</v>
      </c>
      <c r="J79" s="53">
        <v>244.8296</v>
      </c>
      <c r="K79" s="53">
        <v>734.48879999999997</v>
      </c>
      <c r="L79" s="53">
        <v>244.8296</v>
      </c>
      <c r="M79" s="53">
        <v>244.8296</v>
      </c>
      <c r="N79" s="3" t="s">
        <v>69</v>
      </c>
    </row>
    <row r="80" spans="1:14" x14ac:dyDescent="0.25">
      <c r="A80" s="51">
        <v>0.86899999999999999</v>
      </c>
      <c r="B80" s="53">
        <v>2451.1165999999998</v>
      </c>
      <c r="C80" s="53">
        <v>122.5558</v>
      </c>
      <c r="D80" s="53">
        <v>61.277900000000002</v>
      </c>
      <c r="E80" s="53">
        <v>61.277900000000002</v>
      </c>
      <c r="F80" s="53">
        <v>245.11170000000001</v>
      </c>
      <c r="G80" s="53">
        <v>122.5558</v>
      </c>
      <c r="H80" s="53">
        <v>122.5558</v>
      </c>
      <c r="I80" s="53">
        <v>245.11170000000001</v>
      </c>
      <c r="J80" s="53">
        <v>245.11170000000001</v>
      </c>
      <c r="K80" s="53">
        <v>735.33500000000004</v>
      </c>
      <c r="L80" s="53">
        <v>245.11170000000001</v>
      </c>
      <c r="M80" s="53">
        <v>245.11170000000001</v>
      </c>
      <c r="N80" s="3" t="s">
        <v>69</v>
      </c>
    </row>
    <row r="81" spans="1:14" x14ac:dyDescent="0.25">
      <c r="A81" s="51">
        <v>0.87</v>
      </c>
      <c r="B81" s="53">
        <v>2453.9371999999998</v>
      </c>
      <c r="C81" s="53">
        <v>122.6969</v>
      </c>
      <c r="D81" s="53">
        <v>61.348399999999998</v>
      </c>
      <c r="E81" s="53">
        <v>61.348399999999998</v>
      </c>
      <c r="F81" s="53">
        <v>245.3937</v>
      </c>
      <c r="G81" s="53">
        <v>122.6969</v>
      </c>
      <c r="H81" s="53">
        <v>122.6969</v>
      </c>
      <c r="I81" s="53">
        <v>245.3937</v>
      </c>
      <c r="J81" s="53">
        <v>245.3937</v>
      </c>
      <c r="K81" s="53">
        <v>736.18119999999999</v>
      </c>
      <c r="L81" s="53">
        <v>245.3937</v>
      </c>
      <c r="M81" s="53">
        <v>245.3937</v>
      </c>
      <c r="N81" s="3" t="s">
        <v>69</v>
      </c>
    </row>
    <row r="82" spans="1:14" x14ac:dyDescent="0.25">
      <c r="A82" s="51">
        <v>0.871</v>
      </c>
      <c r="B82" s="53">
        <v>2456.7577999999999</v>
      </c>
      <c r="C82" s="53">
        <v>122.8379</v>
      </c>
      <c r="D82" s="53">
        <v>61.418900000000001</v>
      </c>
      <c r="E82" s="53">
        <v>61.418900000000001</v>
      </c>
      <c r="F82" s="53">
        <v>245.67580000000001</v>
      </c>
      <c r="G82" s="53">
        <v>122.8379</v>
      </c>
      <c r="H82" s="53">
        <v>122.8379</v>
      </c>
      <c r="I82" s="53">
        <v>245.67580000000001</v>
      </c>
      <c r="J82" s="53">
        <v>245.67580000000001</v>
      </c>
      <c r="K82" s="53">
        <v>737.02739999999994</v>
      </c>
      <c r="L82" s="53">
        <v>245.67580000000001</v>
      </c>
      <c r="M82" s="53">
        <v>245.67580000000001</v>
      </c>
      <c r="N82" s="3" t="s">
        <v>69</v>
      </c>
    </row>
    <row r="83" spans="1:14" x14ac:dyDescent="0.25">
      <c r="A83" s="51">
        <v>0.872</v>
      </c>
      <c r="B83" s="53">
        <v>2459.5785000000001</v>
      </c>
      <c r="C83" s="53">
        <v>122.9789</v>
      </c>
      <c r="D83" s="53">
        <v>61.4895</v>
      </c>
      <c r="E83" s="53">
        <v>61.4895</v>
      </c>
      <c r="F83" s="53">
        <v>245.95779999999999</v>
      </c>
      <c r="G83" s="53">
        <v>122.9789</v>
      </c>
      <c r="H83" s="53">
        <v>122.9789</v>
      </c>
      <c r="I83" s="53">
        <v>245.95779999999999</v>
      </c>
      <c r="J83" s="53">
        <v>245.95779999999999</v>
      </c>
      <c r="K83" s="53">
        <v>737.87350000000004</v>
      </c>
      <c r="L83" s="53">
        <v>245.95779999999999</v>
      </c>
      <c r="M83" s="53">
        <v>245.95779999999999</v>
      </c>
      <c r="N83" s="3" t="s">
        <v>69</v>
      </c>
    </row>
    <row r="84" spans="1:14" x14ac:dyDescent="0.25">
      <c r="A84" s="51">
        <v>0.873</v>
      </c>
      <c r="B84" s="53">
        <v>2462.3991000000001</v>
      </c>
      <c r="C84" s="53">
        <v>123.12</v>
      </c>
      <c r="D84" s="53">
        <v>61.56</v>
      </c>
      <c r="E84" s="53">
        <v>61.56</v>
      </c>
      <c r="F84" s="53">
        <v>246.23990000000001</v>
      </c>
      <c r="G84" s="53">
        <v>123.12</v>
      </c>
      <c r="H84" s="53">
        <v>123.12</v>
      </c>
      <c r="I84" s="53">
        <v>246.23990000000001</v>
      </c>
      <c r="J84" s="53">
        <v>246.23990000000001</v>
      </c>
      <c r="K84" s="53">
        <v>738.71969999999999</v>
      </c>
      <c r="L84" s="53">
        <v>246.23990000000001</v>
      </c>
      <c r="M84" s="53">
        <v>246.23990000000001</v>
      </c>
      <c r="N84" s="3" t="s">
        <v>69</v>
      </c>
    </row>
    <row r="85" spans="1:14" x14ac:dyDescent="0.25">
      <c r="A85" s="51">
        <v>0.874</v>
      </c>
      <c r="B85" s="53">
        <v>2465.2197000000001</v>
      </c>
      <c r="C85" s="53">
        <v>123.261</v>
      </c>
      <c r="D85" s="53">
        <v>61.630499999999998</v>
      </c>
      <c r="E85" s="53">
        <v>61.630499999999998</v>
      </c>
      <c r="F85" s="53">
        <v>246.52199999999999</v>
      </c>
      <c r="G85" s="53">
        <v>123.261</v>
      </c>
      <c r="H85" s="53">
        <v>123.261</v>
      </c>
      <c r="I85" s="53">
        <v>246.52199999999999</v>
      </c>
      <c r="J85" s="53">
        <v>246.52199999999999</v>
      </c>
      <c r="K85" s="53">
        <v>739.56590000000006</v>
      </c>
      <c r="L85" s="53">
        <v>246.52199999999999</v>
      </c>
      <c r="M85" s="53">
        <v>246.52199999999999</v>
      </c>
      <c r="N85" s="3" t="s">
        <v>69</v>
      </c>
    </row>
    <row r="86" spans="1:14" x14ac:dyDescent="0.25">
      <c r="A86" s="51">
        <v>0.875</v>
      </c>
      <c r="B86" s="53">
        <v>2468.0403000000001</v>
      </c>
      <c r="C86" s="53">
        <v>123.402</v>
      </c>
      <c r="D86" s="53">
        <v>61.701000000000001</v>
      </c>
      <c r="E86" s="53">
        <v>61.701000000000001</v>
      </c>
      <c r="F86" s="53">
        <v>246.804</v>
      </c>
      <c r="G86" s="53">
        <v>123.402</v>
      </c>
      <c r="H86" s="53">
        <v>123.402</v>
      </c>
      <c r="I86" s="53">
        <v>246.804</v>
      </c>
      <c r="J86" s="53">
        <v>246.804</v>
      </c>
      <c r="K86" s="53">
        <v>740.41210000000001</v>
      </c>
      <c r="L86" s="53">
        <v>246.804</v>
      </c>
      <c r="M86" s="53">
        <v>246.804</v>
      </c>
      <c r="N86" s="3" t="s">
        <v>69</v>
      </c>
    </row>
    <row r="87" spans="1:14" x14ac:dyDescent="0.25">
      <c r="A87" s="51">
        <v>0.876</v>
      </c>
      <c r="B87" s="53">
        <v>2470.8609000000001</v>
      </c>
      <c r="C87" s="53">
        <v>123.54300000000001</v>
      </c>
      <c r="D87" s="53">
        <v>61.771500000000003</v>
      </c>
      <c r="E87" s="53">
        <v>61.771500000000003</v>
      </c>
      <c r="F87" s="53">
        <v>247.08609999999999</v>
      </c>
      <c r="G87" s="53">
        <v>123.54300000000001</v>
      </c>
      <c r="H87" s="53">
        <v>123.54300000000001</v>
      </c>
      <c r="I87" s="53">
        <v>247.08609999999999</v>
      </c>
      <c r="J87" s="53">
        <v>247.08609999999999</v>
      </c>
      <c r="K87" s="53">
        <v>741.25829999999996</v>
      </c>
      <c r="L87" s="53">
        <v>247.08609999999999</v>
      </c>
      <c r="M87" s="53">
        <v>247.08609999999999</v>
      </c>
      <c r="N87" s="3" t="s">
        <v>69</v>
      </c>
    </row>
    <row r="88" spans="1:14" x14ac:dyDescent="0.25">
      <c r="A88" s="51">
        <v>0.877</v>
      </c>
      <c r="B88" s="53">
        <v>2473.6815000000001</v>
      </c>
      <c r="C88" s="53">
        <v>123.6841</v>
      </c>
      <c r="D88" s="53">
        <v>61.841999999999999</v>
      </c>
      <c r="E88" s="53">
        <v>61.841999999999999</v>
      </c>
      <c r="F88" s="53">
        <v>247.3682</v>
      </c>
      <c r="G88" s="53">
        <v>123.6841</v>
      </c>
      <c r="H88" s="53">
        <v>123.6841</v>
      </c>
      <c r="I88" s="53">
        <v>247.3682</v>
      </c>
      <c r="J88" s="53">
        <v>247.3682</v>
      </c>
      <c r="K88" s="53">
        <v>742.10450000000003</v>
      </c>
      <c r="L88" s="53">
        <v>247.3682</v>
      </c>
      <c r="M88" s="53">
        <v>247.3682</v>
      </c>
      <c r="N88" s="3" t="s">
        <v>69</v>
      </c>
    </row>
    <row r="89" spans="1:14" x14ac:dyDescent="0.25">
      <c r="A89" s="51">
        <v>0.878</v>
      </c>
      <c r="B89" s="53">
        <v>2476.5021999999999</v>
      </c>
      <c r="C89" s="53">
        <v>123.82510000000001</v>
      </c>
      <c r="D89" s="53">
        <v>61.912599999999998</v>
      </c>
      <c r="E89" s="53">
        <v>61.912599999999998</v>
      </c>
      <c r="F89" s="53">
        <v>247.65020000000001</v>
      </c>
      <c r="G89" s="53">
        <v>123.82510000000001</v>
      </c>
      <c r="H89" s="53">
        <v>123.82510000000001</v>
      </c>
      <c r="I89" s="53">
        <v>247.65020000000001</v>
      </c>
      <c r="J89" s="53">
        <v>247.65020000000001</v>
      </c>
      <c r="K89" s="53">
        <v>742.95060000000001</v>
      </c>
      <c r="L89" s="53">
        <v>247.65020000000001</v>
      </c>
      <c r="M89" s="53">
        <v>247.65020000000001</v>
      </c>
      <c r="N89" s="3" t="s">
        <v>69</v>
      </c>
    </row>
    <row r="90" spans="1:14" x14ac:dyDescent="0.25">
      <c r="A90" s="51">
        <v>0.879</v>
      </c>
      <c r="B90" s="53">
        <v>2479.3227999999999</v>
      </c>
      <c r="C90" s="53">
        <v>123.9661</v>
      </c>
      <c r="D90" s="53">
        <v>61.9831</v>
      </c>
      <c r="E90" s="53">
        <v>61.9831</v>
      </c>
      <c r="F90" s="53">
        <v>247.9323</v>
      </c>
      <c r="G90" s="53">
        <v>123.9661</v>
      </c>
      <c r="H90" s="53">
        <v>123.9661</v>
      </c>
      <c r="I90" s="53">
        <v>247.9323</v>
      </c>
      <c r="J90" s="53">
        <v>247.9323</v>
      </c>
      <c r="K90" s="53">
        <v>743.79679999999996</v>
      </c>
      <c r="L90" s="53">
        <v>247.9323</v>
      </c>
      <c r="M90" s="53">
        <v>247.9323</v>
      </c>
      <c r="N90" s="3" t="s">
        <v>69</v>
      </c>
    </row>
    <row r="91" spans="1:14" x14ac:dyDescent="0.25">
      <c r="A91" s="51">
        <v>0.88</v>
      </c>
      <c r="B91" s="53">
        <v>2482.1433999999999</v>
      </c>
      <c r="C91" s="53">
        <v>124.10720000000001</v>
      </c>
      <c r="D91" s="53">
        <v>62.053600000000003</v>
      </c>
      <c r="E91" s="53">
        <v>62.053600000000003</v>
      </c>
      <c r="F91" s="53">
        <v>248.21430000000001</v>
      </c>
      <c r="G91" s="53">
        <v>124.10720000000001</v>
      </c>
      <c r="H91" s="53">
        <v>124.10720000000001</v>
      </c>
      <c r="I91" s="53">
        <v>248.21430000000001</v>
      </c>
      <c r="J91" s="53">
        <v>248.21430000000001</v>
      </c>
      <c r="K91" s="53">
        <v>744.64300000000003</v>
      </c>
      <c r="L91" s="53">
        <v>248.21430000000001</v>
      </c>
      <c r="M91" s="53">
        <v>248.21430000000001</v>
      </c>
      <c r="N91" s="3" t="s">
        <v>69</v>
      </c>
    </row>
    <row r="92" spans="1:14" x14ac:dyDescent="0.25">
      <c r="A92" s="51">
        <v>0.88100000000000001</v>
      </c>
      <c r="B92" s="53">
        <v>2484.9639999999999</v>
      </c>
      <c r="C92" s="53">
        <v>124.2482</v>
      </c>
      <c r="D92" s="53">
        <v>62.124099999999999</v>
      </c>
      <c r="E92" s="53">
        <v>62.124099999999999</v>
      </c>
      <c r="F92" s="53">
        <v>248.49639999999999</v>
      </c>
      <c r="G92" s="53">
        <v>124.2482</v>
      </c>
      <c r="H92" s="53">
        <v>124.2482</v>
      </c>
      <c r="I92" s="53">
        <v>248.49639999999999</v>
      </c>
      <c r="J92" s="53">
        <v>248.49639999999999</v>
      </c>
      <c r="K92" s="53">
        <v>745.48919999999998</v>
      </c>
      <c r="L92" s="53">
        <v>248.49639999999999</v>
      </c>
      <c r="M92" s="53">
        <v>248.49639999999999</v>
      </c>
      <c r="N92" s="3" t="s">
        <v>69</v>
      </c>
    </row>
    <row r="93" spans="1:14" x14ac:dyDescent="0.25">
      <c r="A93" s="51">
        <v>0.88200000000000001</v>
      </c>
      <c r="B93" s="53">
        <v>2487.7846</v>
      </c>
      <c r="C93" s="53">
        <v>124.3892</v>
      </c>
      <c r="D93" s="53">
        <v>62.194600000000001</v>
      </c>
      <c r="E93" s="53">
        <v>62.194600000000001</v>
      </c>
      <c r="F93" s="53">
        <v>248.77850000000001</v>
      </c>
      <c r="G93" s="53">
        <v>124.3892</v>
      </c>
      <c r="H93" s="53">
        <v>124.3892</v>
      </c>
      <c r="I93" s="53">
        <v>248.77850000000001</v>
      </c>
      <c r="J93" s="53">
        <v>248.77850000000001</v>
      </c>
      <c r="K93" s="53">
        <v>746.33540000000005</v>
      </c>
      <c r="L93" s="53">
        <v>248.77850000000001</v>
      </c>
      <c r="M93" s="53">
        <v>248.77850000000001</v>
      </c>
      <c r="N93" s="3" t="s">
        <v>69</v>
      </c>
    </row>
    <row r="94" spans="1:14" x14ac:dyDescent="0.25">
      <c r="A94" s="51">
        <v>0.88300000000000001</v>
      </c>
      <c r="B94" s="53">
        <v>2490.6052</v>
      </c>
      <c r="C94" s="53">
        <v>124.5303</v>
      </c>
      <c r="D94" s="53">
        <v>62.265099999999997</v>
      </c>
      <c r="E94" s="53">
        <v>62.265099999999997</v>
      </c>
      <c r="F94" s="53">
        <v>249.06049999999999</v>
      </c>
      <c r="G94" s="53">
        <v>124.5303</v>
      </c>
      <c r="H94" s="53">
        <v>124.5303</v>
      </c>
      <c r="I94" s="53">
        <v>249.06049999999999</v>
      </c>
      <c r="J94" s="53">
        <v>249.06049999999999</v>
      </c>
      <c r="K94" s="53">
        <v>747.1816</v>
      </c>
      <c r="L94" s="53">
        <v>249.06049999999999</v>
      </c>
      <c r="M94" s="53">
        <v>249.06049999999999</v>
      </c>
      <c r="N94" s="3" t="s">
        <v>69</v>
      </c>
    </row>
    <row r="95" spans="1:14" x14ac:dyDescent="0.25">
      <c r="A95" s="51">
        <v>0.88400000000000001</v>
      </c>
      <c r="B95" s="53">
        <v>2493.4259000000002</v>
      </c>
      <c r="C95" s="53">
        <v>124.6713</v>
      </c>
      <c r="D95" s="53">
        <v>62.335599999999999</v>
      </c>
      <c r="E95" s="53">
        <v>62.335599999999999</v>
      </c>
      <c r="F95" s="53">
        <v>249.3426</v>
      </c>
      <c r="G95" s="53">
        <v>124.6713</v>
      </c>
      <c r="H95" s="53">
        <v>124.6713</v>
      </c>
      <c r="I95" s="53">
        <v>249.3426</v>
      </c>
      <c r="J95" s="53">
        <v>249.3426</v>
      </c>
      <c r="K95" s="53">
        <v>748.02779999999996</v>
      </c>
      <c r="L95" s="53">
        <v>249.3426</v>
      </c>
      <c r="M95" s="53">
        <v>249.3426</v>
      </c>
      <c r="N95" s="3" t="s">
        <v>69</v>
      </c>
    </row>
    <row r="96" spans="1:14" x14ac:dyDescent="0.25">
      <c r="A96" s="51">
        <v>0.88500000000000001</v>
      </c>
      <c r="B96" s="53">
        <v>2496.2465000000002</v>
      </c>
      <c r="C96" s="53">
        <v>124.81229999999999</v>
      </c>
      <c r="D96" s="53">
        <v>62.406199999999998</v>
      </c>
      <c r="E96" s="53">
        <v>62.406199999999998</v>
      </c>
      <c r="F96" s="53">
        <v>249.62459999999999</v>
      </c>
      <c r="G96" s="53">
        <v>124.81229999999999</v>
      </c>
      <c r="H96" s="53">
        <v>124.81229999999999</v>
      </c>
      <c r="I96" s="53">
        <v>249.62459999999999</v>
      </c>
      <c r="J96" s="53">
        <v>249.62459999999999</v>
      </c>
      <c r="K96" s="53">
        <v>748.87390000000005</v>
      </c>
      <c r="L96" s="53">
        <v>249.62459999999999</v>
      </c>
      <c r="M96" s="53">
        <v>249.62459999999999</v>
      </c>
      <c r="N96" s="3" t="s">
        <v>69</v>
      </c>
    </row>
    <row r="97" spans="1:14" x14ac:dyDescent="0.25">
      <c r="A97" s="51">
        <v>0.88600000000000001</v>
      </c>
      <c r="B97" s="53">
        <v>2499.0671000000002</v>
      </c>
      <c r="C97" s="53">
        <v>124.9534</v>
      </c>
      <c r="D97" s="53">
        <v>62.476700000000001</v>
      </c>
      <c r="E97" s="53">
        <v>62.476700000000001</v>
      </c>
      <c r="F97" s="53">
        <v>249.9067</v>
      </c>
      <c r="G97" s="53">
        <v>124.9534</v>
      </c>
      <c r="H97" s="53">
        <v>124.9534</v>
      </c>
      <c r="I97" s="53">
        <v>249.9067</v>
      </c>
      <c r="J97" s="53">
        <v>249.9067</v>
      </c>
      <c r="K97" s="53">
        <v>749.7201</v>
      </c>
      <c r="L97" s="53">
        <v>249.9067</v>
      </c>
      <c r="M97" s="53">
        <v>249.9067</v>
      </c>
      <c r="N97" s="3" t="s">
        <v>69</v>
      </c>
    </row>
    <row r="98" spans="1:14" x14ac:dyDescent="0.25">
      <c r="A98" s="51">
        <v>0.88700000000000001</v>
      </c>
      <c r="B98" s="53">
        <v>2501.8877000000002</v>
      </c>
      <c r="C98" s="53">
        <v>125.09439999999999</v>
      </c>
      <c r="D98" s="53">
        <v>62.547199999999997</v>
      </c>
      <c r="E98" s="53">
        <v>62.547199999999997</v>
      </c>
      <c r="F98" s="53">
        <v>250.18879999999999</v>
      </c>
      <c r="G98" s="53">
        <v>125.09439999999999</v>
      </c>
      <c r="H98" s="53">
        <v>125.09439999999999</v>
      </c>
      <c r="I98" s="53">
        <v>250.18879999999999</v>
      </c>
      <c r="J98" s="53">
        <v>250.18879999999999</v>
      </c>
      <c r="K98" s="53">
        <v>750.56629999999996</v>
      </c>
      <c r="L98" s="53">
        <v>250.18879999999999</v>
      </c>
      <c r="M98" s="53">
        <v>250.18879999999999</v>
      </c>
      <c r="N98" s="3" t="s">
        <v>69</v>
      </c>
    </row>
    <row r="99" spans="1:14" x14ac:dyDescent="0.25">
      <c r="A99" s="51">
        <v>0.88800000000000001</v>
      </c>
      <c r="B99" s="53">
        <v>2504.7082999999998</v>
      </c>
      <c r="C99" s="53">
        <v>125.2354</v>
      </c>
      <c r="D99" s="53">
        <v>62.617699999999999</v>
      </c>
      <c r="E99" s="53">
        <v>62.617699999999999</v>
      </c>
      <c r="F99" s="53">
        <v>250.4708</v>
      </c>
      <c r="G99" s="53">
        <v>125.2354</v>
      </c>
      <c r="H99" s="53">
        <v>125.2354</v>
      </c>
      <c r="I99" s="53">
        <v>250.4708</v>
      </c>
      <c r="J99" s="53">
        <v>250.4708</v>
      </c>
      <c r="K99" s="53">
        <v>751.41250000000002</v>
      </c>
      <c r="L99" s="53">
        <v>250.4708</v>
      </c>
      <c r="M99" s="53">
        <v>250.4708</v>
      </c>
      <c r="N99" s="3" t="s">
        <v>69</v>
      </c>
    </row>
    <row r="100" spans="1:14" x14ac:dyDescent="0.25">
      <c r="A100" s="51">
        <v>0.88900000000000001</v>
      </c>
      <c r="B100" s="53">
        <v>2507.529</v>
      </c>
      <c r="C100" s="53">
        <v>125.3764</v>
      </c>
      <c r="D100" s="53">
        <v>62.688200000000002</v>
      </c>
      <c r="E100" s="53">
        <v>62.688200000000002</v>
      </c>
      <c r="F100" s="53">
        <v>250.75290000000001</v>
      </c>
      <c r="G100" s="53">
        <v>125.3764</v>
      </c>
      <c r="H100" s="53">
        <v>125.3764</v>
      </c>
      <c r="I100" s="53">
        <v>250.75290000000001</v>
      </c>
      <c r="J100" s="53">
        <v>250.75290000000001</v>
      </c>
      <c r="K100" s="53">
        <v>752.25869999999998</v>
      </c>
      <c r="L100" s="53">
        <v>250.75290000000001</v>
      </c>
      <c r="M100" s="53">
        <v>250.75290000000001</v>
      </c>
      <c r="N100" s="3" t="s">
        <v>69</v>
      </c>
    </row>
    <row r="101" spans="1:14" x14ac:dyDescent="0.25">
      <c r="A101" s="51">
        <v>0.89</v>
      </c>
      <c r="B101" s="53">
        <v>2510.3496</v>
      </c>
      <c r="C101" s="53">
        <v>125.5175</v>
      </c>
      <c r="D101" s="53">
        <v>62.758699999999997</v>
      </c>
      <c r="E101" s="53">
        <v>62.758699999999997</v>
      </c>
      <c r="F101" s="53">
        <v>251.035</v>
      </c>
      <c r="G101" s="53">
        <v>125.5175</v>
      </c>
      <c r="H101" s="53">
        <v>125.5175</v>
      </c>
      <c r="I101" s="53">
        <v>251.035</v>
      </c>
      <c r="J101" s="53">
        <v>251.035</v>
      </c>
      <c r="K101" s="53">
        <v>753.10490000000004</v>
      </c>
      <c r="L101" s="53">
        <v>251.035</v>
      </c>
      <c r="M101" s="53">
        <v>251.035</v>
      </c>
      <c r="N101" s="3" t="s">
        <v>69</v>
      </c>
    </row>
    <row r="102" spans="1:14" x14ac:dyDescent="0.25">
      <c r="A102" s="51">
        <v>0.89100000000000001</v>
      </c>
      <c r="B102" s="53">
        <v>2513.1702</v>
      </c>
      <c r="C102" s="53">
        <v>125.6585</v>
      </c>
      <c r="D102" s="53">
        <v>62.829300000000003</v>
      </c>
      <c r="E102" s="53">
        <v>62.829300000000003</v>
      </c>
      <c r="F102" s="53">
        <v>251.31700000000001</v>
      </c>
      <c r="G102" s="53">
        <v>125.6585</v>
      </c>
      <c r="H102" s="53">
        <v>125.6585</v>
      </c>
      <c r="I102" s="53">
        <v>251.31700000000001</v>
      </c>
      <c r="J102" s="53">
        <v>251.31700000000001</v>
      </c>
      <c r="K102" s="53">
        <v>753.9511</v>
      </c>
      <c r="L102" s="53">
        <v>251.31700000000001</v>
      </c>
      <c r="M102" s="53">
        <v>251.31700000000001</v>
      </c>
      <c r="N102" s="3" t="s">
        <v>69</v>
      </c>
    </row>
    <row r="103" spans="1:14" x14ac:dyDescent="0.25">
      <c r="A103" s="51">
        <v>0.89200000000000002</v>
      </c>
      <c r="B103" s="53">
        <v>2515.9908</v>
      </c>
      <c r="C103" s="53">
        <v>125.79949999999999</v>
      </c>
      <c r="D103" s="53">
        <v>62.899799999999999</v>
      </c>
      <c r="E103" s="53">
        <v>62.899799999999999</v>
      </c>
      <c r="F103" s="53">
        <v>251.59909999999999</v>
      </c>
      <c r="G103" s="53">
        <v>125.79949999999999</v>
      </c>
      <c r="H103" s="53">
        <v>125.79949999999999</v>
      </c>
      <c r="I103" s="53">
        <v>251.59909999999999</v>
      </c>
      <c r="J103" s="53">
        <v>251.59909999999999</v>
      </c>
      <c r="K103" s="53">
        <v>754.79719999999998</v>
      </c>
      <c r="L103" s="53">
        <v>251.59909999999999</v>
      </c>
      <c r="M103" s="53">
        <v>251.59909999999999</v>
      </c>
      <c r="N103" s="3" t="s">
        <v>69</v>
      </c>
    </row>
    <row r="104" spans="1:14" x14ac:dyDescent="0.25">
      <c r="A104" s="51">
        <v>0.89300000000000002</v>
      </c>
      <c r="B104" s="53">
        <v>2518.8114</v>
      </c>
      <c r="C104" s="53">
        <v>125.9406</v>
      </c>
      <c r="D104" s="53">
        <v>62.970300000000002</v>
      </c>
      <c r="E104" s="53">
        <v>62.970300000000002</v>
      </c>
      <c r="F104" s="53">
        <v>251.8811</v>
      </c>
      <c r="G104" s="53">
        <v>125.9406</v>
      </c>
      <c r="H104" s="53">
        <v>125.9406</v>
      </c>
      <c r="I104" s="53">
        <v>251.8811</v>
      </c>
      <c r="J104" s="53">
        <v>251.8811</v>
      </c>
      <c r="K104" s="53">
        <v>755.64340000000004</v>
      </c>
      <c r="L104" s="53">
        <v>251.8811</v>
      </c>
      <c r="M104" s="53">
        <v>251.8811</v>
      </c>
      <c r="N104" s="3" t="s">
        <v>69</v>
      </c>
    </row>
    <row r="105" spans="1:14" x14ac:dyDescent="0.25">
      <c r="A105" s="51">
        <v>0.89400000000000002</v>
      </c>
      <c r="B105" s="53">
        <v>2521.6320000000001</v>
      </c>
      <c r="C105" s="53">
        <v>126.08159999999999</v>
      </c>
      <c r="D105" s="53">
        <v>63.040799999999997</v>
      </c>
      <c r="E105" s="53">
        <v>63.040799999999997</v>
      </c>
      <c r="F105" s="53">
        <v>252.16319999999999</v>
      </c>
      <c r="G105" s="53">
        <v>126.08159999999999</v>
      </c>
      <c r="H105" s="53">
        <v>126.08159999999999</v>
      </c>
      <c r="I105" s="53">
        <v>252.16319999999999</v>
      </c>
      <c r="J105" s="53">
        <v>252.16319999999999</v>
      </c>
      <c r="K105" s="53">
        <v>756.4896</v>
      </c>
      <c r="L105" s="53">
        <v>252.16319999999999</v>
      </c>
      <c r="M105" s="53">
        <v>252.16319999999999</v>
      </c>
      <c r="N105" s="3" t="s">
        <v>69</v>
      </c>
    </row>
    <row r="106" spans="1:14" x14ac:dyDescent="0.25">
      <c r="A106" s="51">
        <v>0.89500000000000002</v>
      </c>
      <c r="B106" s="53">
        <v>2524.4526999999998</v>
      </c>
      <c r="C106" s="53">
        <v>126.2226</v>
      </c>
      <c r="D106" s="53">
        <v>63.1113</v>
      </c>
      <c r="E106" s="53">
        <v>63.1113</v>
      </c>
      <c r="F106" s="53">
        <v>252.4453</v>
      </c>
      <c r="G106" s="53">
        <v>126.2226</v>
      </c>
      <c r="H106" s="53">
        <v>126.2226</v>
      </c>
      <c r="I106" s="53">
        <v>252.4453</v>
      </c>
      <c r="J106" s="53">
        <v>252.4453</v>
      </c>
      <c r="K106" s="53">
        <v>757.33579999999995</v>
      </c>
      <c r="L106" s="53">
        <v>252.4453</v>
      </c>
      <c r="M106" s="53">
        <v>252.4453</v>
      </c>
      <c r="N106" s="3" t="s">
        <v>69</v>
      </c>
    </row>
    <row r="107" spans="1:14" x14ac:dyDescent="0.25">
      <c r="A107" s="51">
        <v>0.89600000000000002</v>
      </c>
      <c r="B107" s="53">
        <v>2527.2732999999998</v>
      </c>
      <c r="C107" s="53">
        <v>126.36369999999999</v>
      </c>
      <c r="D107" s="53">
        <v>63.181800000000003</v>
      </c>
      <c r="E107" s="53">
        <v>63.181800000000003</v>
      </c>
      <c r="F107" s="53">
        <v>252.72730000000001</v>
      </c>
      <c r="G107" s="53">
        <v>126.36369999999999</v>
      </c>
      <c r="H107" s="53">
        <v>126.36369999999999</v>
      </c>
      <c r="I107" s="53">
        <v>252.72730000000001</v>
      </c>
      <c r="J107" s="53">
        <v>252.72730000000001</v>
      </c>
      <c r="K107" s="53">
        <v>758.18200000000002</v>
      </c>
      <c r="L107" s="53">
        <v>252.72730000000001</v>
      </c>
      <c r="M107" s="53">
        <v>252.72730000000001</v>
      </c>
      <c r="N107" s="3" t="s">
        <v>69</v>
      </c>
    </row>
    <row r="108" spans="1:14" x14ac:dyDescent="0.25">
      <c r="A108" s="51">
        <v>0.89700000000000002</v>
      </c>
      <c r="B108" s="53">
        <v>2530.0938999999998</v>
      </c>
      <c r="C108" s="53">
        <v>126.5047</v>
      </c>
      <c r="D108" s="53">
        <v>63.252299999999998</v>
      </c>
      <c r="E108" s="53">
        <v>63.252299999999998</v>
      </c>
      <c r="F108" s="53">
        <v>253.0094</v>
      </c>
      <c r="G108" s="53">
        <v>126.5047</v>
      </c>
      <c r="H108" s="53">
        <v>126.5047</v>
      </c>
      <c r="I108" s="53">
        <v>253.0094</v>
      </c>
      <c r="J108" s="53">
        <v>253.0094</v>
      </c>
      <c r="K108" s="53">
        <v>759.02819999999997</v>
      </c>
      <c r="L108" s="53">
        <v>253.0094</v>
      </c>
      <c r="M108" s="53">
        <v>253.0094</v>
      </c>
      <c r="N108" s="3" t="s">
        <v>69</v>
      </c>
    </row>
    <row r="109" spans="1:14" x14ac:dyDescent="0.25">
      <c r="A109" s="51">
        <v>0.89800000000000002</v>
      </c>
      <c r="B109" s="53">
        <v>2532.9144999999999</v>
      </c>
      <c r="C109" s="53">
        <v>126.64570000000001</v>
      </c>
      <c r="D109" s="53">
        <v>63.322899999999997</v>
      </c>
      <c r="E109" s="53">
        <v>63.322899999999997</v>
      </c>
      <c r="F109" s="53">
        <v>253.29150000000001</v>
      </c>
      <c r="G109" s="53">
        <v>126.64570000000001</v>
      </c>
      <c r="H109" s="53">
        <v>126.64570000000001</v>
      </c>
      <c r="I109" s="53">
        <v>253.29150000000001</v>
      </c>
      <c r="J109" s="53">
        <v>253.29150000000001</v>
      </c>
      <c r="K109" s="53">
        <v>759.87440000000004</v>
      </c>
      <c r="L109" s="53">
        <v>253.29150000000001</v>
      </c>
      <c r="M109" s="53">
        <v>253.29150000000001</v>
      </c>
      <c r="N109" s="3" t="s">
        <v>69</v>
      </c>
    </row>
    <row r="110" spans="1:14" x14ac:dyDescent="0.25">
      <c r="A110" s="51">
        <v>0.89900000000000002</v>
      </c>
      <c r="B110" s="53">
        <v>2535.7350999999999</v>
      </c>
      <c r="C110" s="53">
        <v>126.7868</v>
      </c>
      <c r="D110" s="53">
        <v>63.3934</v>
      </c>
      <c r="E110" s="53">
        <v>63.3934</v>
      </c>
      <c r="F110" s="53">
        <v>253.5735</v>
      </c>
      <c r="G110" s="53">
        <v>126.7868</v>
      </c>
      <c r="H110" s="53">
        <v>126.7868</v>
      </c>
      <c r="I110" s="53">
        <v>253.5735</v>
      </c>
      <c r="J110" s="53">
        <v>253.5735</v>
      </c>
      <c r="K110" s="53">
        <v>760.72050000000002</v>
      </c>
      <c r="L110" s="53">
        <v>253.5735</v>
      </c>
      <c r="M110" s="53">
        <v>253.5735</v>
      </c>
      <c r="N110" s="3" t="s">
        <v>69</v>
      </c>
    </row>
    <row r="111" spans="1:14" x14ac:dyDescent="0.25">
      <c r="A111" s="51">
        <v>0.9</v>
      </c>
      <c r="B111" s="53">
        <v>3807.8335999999999</v>
      </c>
      <c r="C111" s="53">
        <v>190.39169999999999</v>
      </c>
      <c r="D111" s="53">
        <v>95.195800000000006</v>
      </c>
      <c r="E111" s="53">
        <v>95.195800000000006</v>
      </c>
      <c r="F111" s="53">
        <v>380.78339999999997</v>
      </c>
      <c r="G111" s="53">
        <v>190.39169999999999</v>
      </c>
      <c r="H111" s="53">
        <v>190.39169999999999</v>
      </c>
      <c r="I111" s="53">
        <v>380.78339999999997</v>
      </c>
      <c r="J111" s="53">
        <v>380.78339999999997</v>
      </c>
      <c r="K111" s="53">
        <v>1142.3501000000001</v>
      </c>
      <c r="L111" s="53">
        <v>380.78339999999997</v>
      </c>
      <c r="M111" s="53">
        <v>380.78339999999997</v>
      </c>
      <c r="N111" s="3" t="s">
        <v>69</v>
      </c>
    </row>
    <row r="112" spans="1:14" x14ac:dyDescent="0.25">
      <c r="A112" s="51">
        <v>0.90100000000000002</v>
      </c>
      <c r="B112" s="53">
        <v>3812.0645</v>
      </c>
      <c r="C112" s="53">
        <v>190.60319999999999</v>
      </c>
      <c r="D112" s="53">
        <v>95.301599999999993</v>
      </c>
      <c r="E112" s="53">
        <v>95.301599999999993</v>
      </c>
      <c r="F112" s="53">
        <v>381.20650000000001</v>
      </c>
      <c r="G112" s="53">
        <v>190.60319999999999</v>
      </c>
      <c r="H112" s="53">
        <v>190.60319999999999</v>
      </c>
      <c r="I112" s="53">
        <v>381.20650000000001</v>
      </c>
      <c r="J112" s="53">
        <v>381.20650000000001</v>
      </c>
      <c r="K112" s="53">
        <v>1143.6194</v>
      </c>
      <c r="L112" s="53">
        <v>381.20650000000001</v>
      </c>
      <c r="M112" s="53">
        <v>381.20650000000001</v>
      </c>
      <c r="N112" s="3" t="s">
        <v>69</v>
      </c>
    </row>
    <row r="113" spans="1:14" x14ac:dyDescent="0.25">
      <c r="A113" s="51">
        <v>0.90200000000000002</v>
      </c>
      <c r="B113" s="53">
        <v>3816.2955000000002</v>
      </c>
      <c r="C113" s="53">
        <v>190.81479999999999</v>
      </c>
      <c r="D113" s="53">
        <v>95.407399999999996</v>
      </c>
      <c r="E113" s="53">
        <v>95.407399999999996</v>
      </c>
      <c r="F113" s="53">
        <v>381.62950000000001</v>
      </c>
      <c r="G113" s="53">
        <v>190.81479999999999</v>
      </c>
      <c r="H113" s="53">
        <v>190.81479999999999</v>
      </c>
      <c r="I113" s="53">
        <v>381.62950000000001</v>
      </c>
      <c r="J113" s="53">
        <v>381.62950000000001</v>
      </c>
      <c r="K113" s="53">
        <v>1144.8886</v>
      </c>
      <c r="L113" s="53">
        <v>381.62950000000001</v>
      </c>
      <c r="M113" s="53">
        <v>381.62950000000001</v>
      </c>
      <c r="N113" s="3" t="s">
        <v>69</v>
      </c>
    </row>
    <row r="114" spans="1:14" x14ac:dyDescent="0.25">
      <c r="A114" s="51">
        <v>0.90300000000000002</v>
      </c>
      <c r="B114" s="53">
        <v>3820.5264000000002</v>
      </c>
      <c r="C114" s="53">
        <v>191.02629999999999</v>
      </c>
      <c r="D114" s="53">
        <v>95.513199999999998</v>
      </c>
      <c r="E114" s="53">
        <v>95.513199999999998</v>
      </c>
      <c r="F114" s="53">
        <v>382.05259999999998</v>
      </c>
      <c r="G114" s="53">
        <v>191.02629999999999</v>
      </c>
      <c r="H114" s="53">
        <v>191.02629999999999</v>
      </c>
      <c r="I114" s="53">
        <v>382.05259999999998</v>
      </c>
      <c r="J114" s="53">
        <v>382.05259999999998</v>
      </c>
      <c r="K114" s="53">
        <v>1146.1578999999999</v>
      </c>
      <c r="L114" s="53">
        <v>382.05259999999998</v>
      </c>
      <c r="M114" s="53">
        <v>382.05259999999998</v>
      </c>
      <c r="N114" s="3" t="s">
        <v>69</v>
      </c>
    </row>
    <row r="115" spans="1:14" x14ac:dyDescent="0.25">
      <c r="A115" s="51">
        <v>0.90400000000000003</v>
      </c>
      <c r="B115" s="53">
        <v>3824.7573000000002</v>
      </c>
      <c r="C115" s="53">
        <v>191.2379</v>
      </c>
      <c r="D115" s="53">
        <v>95.618899999999996</v>
      </c>
      <c r="E115" s="53">
        <v>95.618899999999996</v>
      </c>
      <c r="F115" s="53">
        <v>382.47570000000002</v>
      </c>
      <c r="G115" s="53">
        <v>191.2379</v>
      </c>
      <c r="H115" s="53">
        <v>191.2379</v>
      </c>
      <c r="I115" s="53">
        <v>382.47570000000002</v>
      </c>
      <c r="J115" s="53">
        <v>382.47570000000002</v>
      </c>
      <c r="K115" s="53">
        <v>1147.4272000000001</v>
      </c>
      <c r="L115" s="53">
        <v>382.47570000000002</v>
      </c>
      <c r="M115" s="53">
        <v>382.47570000000002</v>
      </c>
      <c r="N115" s="3" t="s">
        <v>69</v>
      </c>
    </row>
    <row r="116" spans="1:14" x14ac:dyDescent="0.25">
      <c r="A116" s="51">
        <v>0.90500000000000003</v>
      </c>
      <c r="B116" s="53">
        <v>3828.9881999999998</v>
      </c>
      <c r="C116" s="53">
        <v>191.4494</v>
      </c>
      <c r="D116" s="53">
        <v>95.724699999999999</v>
      </c>
      <c r="E116" s="53">
        <v>95.724699999999999</v>
      </c>
      <c r="F116" s="53">
        <v>382.89879999999999</v>
      </c>
      <c r="G116" s="53">
        <v>191.4494</v>
      </c>
      <c r="H116" s="53">
        <v>191.4494</v>
      </c>
      <c r="I116" s="53">
        <v>382.89879999999999</v>
      </c>
      <c r="J116" s="53">
        <v>382.89879999999999</v>
      </c>
      <c r="K116" s="53">
        <v>1148.6965</v>
      </c>
      <c r="L116" s="53">
        <v>382.89879999999999</v>
      </c>
      <c r="M116" s="53">
        <v>382.89879999999999</v>
      </c>
      <c r="N116" s="3" t="s">
        <v>69</v>
      </c>
    </row>
    <row r="117" spans="1:14" x14ac:dyDescent="0.25">
      <c r="A117" s="51">
        <v>0.90600000000000003</v>
      </c>
      <c r="B117" s="53">
        <v>3833.2192</v>
      </c>
      <c r="C117" s="53">
        <v>191.661</v>
      </c>
      <c r="D117" s="53">
        <v>95.830500000000001</v>
      </c>
      <c r="E117" s="53">
        <v>95.830500000000001</v>
      </c>
      <c r="F117" s="53">
        <v>383.32190000000003</v>
      </c>
      <c r="G117" s="53">
        <v>191.661</v>
      </c>
      <c r="H117" s="53">
        <v>191.661</v>
      </c>
      <c r="I117" s="53">
        <v>383.32190000000003</v>
      </c>
      <c r="J117" s="53">
        <v>383.32190000000003</v>
      </c>
      <c r="K117" s="53">
        <v>1149.9657999999999</v>
      </c>
      <c r="L117" s="53">
        <v>383.32190000000003</v>
      </c>
      <c r="M117" s="53">
        <v>383.32190000000003</v>
      </c>
      <c r="N117" s="3" t="s">
        <v>69</v>
      </c>
    </row>
    <row r="118" spans="1:14" x14ac:dyDescent="0.25">
      <c r="A118" s="51">
        <v>0.90700000000000003</v>
      </c>
      <c r="B118" s="53">
        <v>3837.4501</v>
      </c>
      <c r="C118" s="53">
        <v>191.8725</v>
      </c>
      <c r="D118" s="53">
        <v>95.936300000000003</v>
      </c>
      <c r="E118" s="53">
        <v>95.936300000000003</v>
      </c>
      <c r="F118" s="53">
        <v>383.745</v>
      </c>
      <c r="G118" s="53">
        <v>191.8725</v>
      </c>
      <c r="H118" s="53">
        <v>191.8725</v>
      </c>
      <c r="I118" s="53">
        <v>383.745</v>
      </c>
      <c r="J118" s="53">
        <v>383.745</v>
      </c>
      <c r="K118" s="53">
        <v>1151.2349999999999</v>
      </c>
      <c r="L118" s="53">
        <v>383.745</v>
      </c>
      <c r="M118" s="53">
        <v>383.745</v>
      </c>
      <c r="N118" s="3" t="s">
        <v>69</v>
      </c>
    </row>
    <row r="119" spans="1:14" x14ac:dyDescent="0.25">
      <c r="A119" s="51">
        <v>0.90800000000000003</v>
      </c>
      <c r="B119" s="53">
        <v>3841.681</v>
      </c>
      <c r="C119" s="53">
        <v>192.08410000000001</v>
      </c>
      <c r="D119" s="53">
        <v>96.042000000000002</v>
      </c>
      <c r="E119" s="53">
        <v>96.042000000000002</v>
      </c>
      <c r="F119" s="53">
        <v>384.16809999999998</v>
      </c>
      <c r="G119" s="53">
        <v>192.08410000000001</v>
      </c>
      <c r="H119" s="53">
        <v>192.08410000000001</v>
      </c>
      <c r="I119" s="53">
        <v>384.16809999999998</v>
      </c>
      <c r="J119" s="53">
        <v>384.16809999999998</v>
      </c>
      <c r="K119" s="53">
        <v>1152.5043000000001</v>
      </c>
      <c r="L119" s="53">
        <v>384.16809999999998</v>
      </c>
      <c r="M119" s="53">
        <v>384.16809999999998</v>
      </c>
      <c r="N119" s="3" t="s">
        <v>69</v>
      </c>
    </row>
    <row r="120" spans="1:14" x14ac:dyDescent="0.25">
      <c r="A120" s="51">
        <v>0.90900000000000003</v>
      </c>
      <c r="B120" s="53">
        <v>3845.9119999999998</v>
      </c>
      <c r="C120" s="53">
        <v>192.29560000000001</v>
      </c>
      <c r="D120" s="53">
        <v>96.147800000000004</v>
      </c>
      <c r="E120" s="53">
        <v>96.147800000000004</v>
      </c>
      <c r="F120" s="53">
        <v>384.59120000000001</v>
      </c>
      <c r="G120" s="53">
        <v>192.29560000000001</v>
      </c>
      <c r="H120" s="53">
        <v>192.29560000000001</v>
      </c>
      <c r="I120" s="53">
        <v>384.59120000000001</v>
      </c>
      <c r="J120" s="53">
        <v>384.59120000000001</v>
      </c>
      <c r="K120" s="53">
        <v>1153.7736</v>
      </c>
      <c r="L120" s="53">
        <v>384.59120000000001</v>
      </c>
      <c r="M120" s="53">
        <v>384.59120000000001</v>
      </c>
      <c r="N120" s="3" t="s">
        <v>69</v>
      </c>
    </row>
    <row r="121" spans="1:14" x14ac:dyDescent="0.25">
      <c r="A121" s="51">
        <v>0.91</v>
      </c>
      <c r="B121" s="53">
        <v>3850.1428999999998</v>
      </c>
      <c r="C121" s="53">
        <v>192.50710000000001</v>
      </c>
      <c r="D121" s="53">
        <v>96.253600000000006</v>
      </c>
      <c r="E121" s="53">
        <v>96.253600000000006</v>
      </c>
      <c r="F121" s="53">
        <v>385.01429999999999</v>
      </c>
      <c r="G121" s="53">
        <v>192.50710000000001</v>
      </c>
      <c r="H121" s="53">
        <v>192.50710000000001</v>
      </c>
      <c r="I121" s="53">
        <v>385.01429999999999</v>
      </c>
      <c r="J121" s="53">
        <v>385.01429999999999</v>
      </c>
      <c r="K121" s="53">
        <v>1155.0428999999999</v>
      </c>
      <c r="L121" s="53">
        <v>385.01429999999999</v>
      </c>
      <c r="M121" s="53">
        <v>385.01429999999999</v>
      </c>
      <c r="N121" s="3" t="s">
        <v>69</v>
      </c>
    </row>
    <row r="122" spans="1:14" x14ac:dyDescent="0.25">
      <c r="A122" s="51">
        <v>0.91100000000000003</v>
      </c>
      <c r="B122" s="53">
        <v>3854.3737999999998</v>
      </c>
      <c r="C122" s="53">
        <v>192.71870000000001</v>
      </c>
      <c r="D122" s="53">
        <v>96.359300000000005</v>
      </c>
      <c r="E122" s="53">
        <v>96.359300000000005</v>
      </c>
      <c r="F122" s="53">
        <v>385.43740000000003</v>
      </c>
      <c r="G122" s="53">
        <v>192.71870000000001</v>
      </c>
      <c r="H122" s="53">
        <v>192.71870000000001</v>
      </c>
      <c r="I122" s="53">
        <v>385.43740000000003</v>
      </c>
      <c r="J122" s="53">
        <v>385.43740000000003</v>
      </c>
      <c r="K122" s="53">
        <v>1156.3121000000001</v>
      </c>
      <c r="L122" s="53">
        <v>385.43740000000003</v>
      </c>
      <c r="M122" s="53">
        <v>385.43740000000003</v>
      </c>
      <c r="N122" s="3" t="s">
        <v>69</v>
      </c>
    </row>
    <row r="123" spans="1:14" x14ac:dyDescent="0.25">
      <c r="A123" s="51">
        <v>0.91200000000000003</v>
      </c>
      <c r="B123" s="53">
        <v>3858.6046999999999</v>
      </c>
      <c r="C123" s="53">
        <v>192.93020000000001</v>
      </c>
      <c r="D123" s="53">
        <v>96.465100000000007</v>
      </c>
      <c r="E123" s="53">
        <v>96.465100000000007</v>
      </c>
      <c r="F123" s="53">
        <v>385.8605</v>
      </c>
      <c r="G123" s="53">
        <v>192.93020000000001</v>
      </c>
      <c r="H123" s="53">
        <v>192.93020000000001</v>
      </c>
      <c r="I123" s="53">
        <v>385.8605</v>
      </c>
      <c r="J123" s="53">
        <v>385.8605</v>
      </c>
      <c r="K123" s="53">
        <v>1157.5814</v>
      </c>
      <c r="L123" s="53">
        <v>385.8605</v>
      </c>
      <c r="M123" s="53">
        <v>385.8605</v>
      </c>
      <c r="N123" s="3" t="s">
        <v>69</v>
      </c>
    </row>
    <row r="124" spans="1:14" x14ac:dyDescent="0.25">
      <c r="A124" s="51">
        <v>0.91300000000000003</v>
      </c>
      <c r="B124" s="53">
        <v>3862.8357000000001</v>
      </c>
      <c r="C124" s="53">
        <v>193.14179999999999</v>
      </c>
      <c r="D124" s="53">
        <v>96.570899999999995</v>
      </c>
      <c r="E124" s="53">
        <v>96.570899999999995</v>
      </c>
      <c r="F124" s="53">
        <v>386.28359999999998</v>
      </c>
      <c r="G124" s="53">
        <v>193.14179999999999</v>
      </c>
      <c r="H124" s="53">
        <v>193.14179999999999</v>
      </c>
      <c r="I124" s="53">
        <v>386.28359999999998</v>
      </c>
      <c r="J124" s="53">
        <v>386.28359999999998</v>
      </c>
      <c r="K124" s="53">
        <v>1158.8507</v>
      </c>
      <c r="L124" s="53">
        <v>386.28359999999998</v>
      </c>
      <c r="M124" s="53">
        <v>386.28359999999998</v>
      </c>
      <c r="N124" s="3" t="s">
        <v>69</v>
      </c>
    </row>
    <row r="125" spans="1:14" x14ac:dyDescent="0.25">
      <c r="A125" s="51">
        <v>0.91400000000000003</v>
      </c>
      <c r="B125" s="53">
        <v>3867.0666000000001</v>
      </c>
      <c r="C125" s="53">
        <v>193.35329999999999</v>
      </c>
      <c r="D125" s="53">
        <v>96.676699999999997</v>
      </c>
      <c r="E125" s="53">
        <v>96.676699999999997</v>
      </c>
      <c r="F125" s="53">
        <v>386.70670000000001</v>
      </c>
      <c r="G125" s="53">
        <v>193.35329999999999</v>
      </c>
      <c r="H125" s="53">
        <v>193.35329999999999</v>
      </c>
      <c r="I125" s="53">
        <v>386.70670000000001</v>
      </c>
      <c r="J125" s="53">
        <v>386.70670000000001</v>
      </c>
      <c r="K125" s="53">
        <v>1160.1199999999999</v>
      </c>
      <c r="L125" s="53">
        <v>386.70670000000001</v>
      </c>
      <c r="M125" s="53">
        <v>386.70670000000001</v>
      </c>
      <c r="N125" s="3" t="s">
        <v>69</v>
      </c>
    </row>
    <row r="126" spans="1:14" x14ac:dyDescent="0.25">
      <c r="A126" s="51">
        <v>0.91500000000000004</v>
      </c>
      <c r="B126" s="53">
        <v>3871.2975000000001</v>
      </c>
      <c r="C126" s="53">
        <v>193.56489999999999</v>
      </c>
      <c r="D126" s="53">
        <v>96.782399999999996</v>
      </c>
      <c r="E126" s="53">
        <v>96.782399999999996</v>
      </c>
      <c r="F126" s="53">
        <v>387.12979999999999</v>
      </c>
      <c r="G126" s="53">
        <v>193.56489999999999</v>
      </c>
      <c r="H126" s="53">
        <v>193.56489999999999</v>
      </c>
      <c r="I126" s="53">
        <v>387.12979999999999</v>
      </c>
      <c r="J126" s="53">
        <v>387.12979999999999</v>
      </c>
      <c r="K126" s="53">
        <v>1161.3893</v>
      </c>
      <c r="L126" s="53">
        <v>387.12979999999999</v>
      </c>
      <c r="M126" s="53">
        <v>387.12979999999999</v>
      </c>
      <c r="N126" s="3" t="s">
        <v>69</v>
      </c>
    </row>
    <row r="127" spans="1:14" x14ac:dyDescent="0.25">
      <c r="A127" s="51">
        <v>0.91600000000000004</v>
      </c>
      <c r="B127" s="53">
        <v>3875.5284000000001</v>
      </c>
      <c r="C127" s="53">
        <v>193.7764</v>
      </c>
      <c r="D127" s="53">
        <v>96.888199999999998</v>
      </c>
      <c r="E127" s="53">
        <v>96.888199999999998</v>
      </c>
      <c r="F127" s="53">
        <v>387.55279999999999</v>
      </c>
      <c r="G127" s="53">
        <v>193.7764</v>
      </c>
      <c r="H127" s="53">
        <v>193.7764</v>
      </c>
      <c r="I127" s="53">
        <v>387.55279999999999</v>
      </c>
      <c r="J127" s="53">
        <v>387.55279999999999</v>
      </c>
      <c r="K127" s="53">
        <v>1162.6585</v>
      </c>
      <c r="L127" s="53">
        <v>387.55279999999999</v>
      </c>
      <c r="M127" s="53">
        <v>387.55279999999999</v>
      </c>
      <c r="N127" s="3" t="s">
        <v>69</v>
      </c>
    </row>
    <row r="128" spans="1:14" x14ac:dyDescent="0.25">
      <c r="A128" s="51">
        <v>0.91700000000000004</v>
      </c>
      <c r="B128" s="53">
        <v>3879.7593999999999</v>
      </c>
      <c r="C128" s="53">
        <v>193.988</v>
      </c>
      <c r="D128" s="53">
        <v>96.994</v>
      </c>
      <c r="E128" s="53">
        <v>96.994</v>
      </c>
      <c r="F128" s="53">
        <v>387.97590000000002</v>
      </c>
      <c r="G128" s="53">
        <v>193.988</v>
      </c>
      <c r="H128" s="53">
        <v>193.988</v>
      </c>
      <c r="I128" s="53">
        <v>387.97590000000002</v>
      </c>
      <c r="J128" s="53">
        <v>387.97590000000002</v>
      </c>
      <c r="K128" s="53">
        <v>1163.9277999999999</v>
      </c>
      <c r="L128" s="53">
        <v>387.97590000000002</v>
      </c>
      <c r="M128" s="53">
        <v>387.97590000000002</v>
      </c>
      <c r="N128" s="3" t="s">
        <v>69</v>
      </c>
    </row>
    <row r="129" spans="1:14" x14ac:dyDescent="0.25">
      <c r="A129" s="51">
        <v>0.91800000000000004</v>
      </c>
      <c r="B129" s="53">
        <v>3883.9902999999999</v>
      </c>
      <c r="C129" s="53">
        <v>194.1995</v>
      </c>
      <c r="D129" s="53">
        <v>97.099800000000002</v>
      </c>
      <c r="E129" s="53">
        <v>97.099800000000002</v>
      </c>
      <c r="F129" s="53">
        <v>388.399</v>
      </c>
      <c r="G129" s="53">
        <v>194.1995</v>
      </c>
      <c r="H129" s="53">
        <v>194.1995</v>
      </c>
      <c r="I129" s="53">
        <v>388.399</v>
      </c>
      <c r="J129" s="53">
        <v>388.399</v>
      </c>
      <c r="K129" s="53">
        <v>1165.1971000000001</v>
      </c>
      <c r="L129" s="53">
        <v>388.399</v>
      </c>
      <c r="M129" s="53">
        <v>388.399</v>
      </c>
      <c r="N129" s="3" t="s">
        <v>69</v>
      </c>
    </row>
    <row r="130" spans="1:14" x14ac:dyDescent="0.25">
      <c r="A130" s="51">
        <v>0.91900000000000004</v>
      </c>
      <c r="B130" s="53">
        <v>3888.2212</v>
      </c>
      <c r="C130" s="53">
        <v>194.4111</v>
      </c>
      <c r="D130" s="53">
        <v>97.205500000000001</v>
      </c>
      <c r="E130" s="53">
        <v>97.205500000000001</v>
      </c>
      <c r="F130" s="53">
        <v>388.82209999999998</v>
      </c>
      <c r="G130" s="53">
        <v>194.4111</v>
      </c>
      <c r="H130" s="53">
        <v>194.4111</v>
      </c>
      <c r="I130" s="53">
        <v>388.82209999999998</v>
      </c>
      <c r="J130" s="53">
        <v>388.82209999999998</v>
      </c>
      <c r="K130" s="53">
        <v>1166.4664</v>
      </c>
      <c r="L130" s="53">
        <v>388.82209999999998</v>
      </c>
      <c r="M130" s="53">
        <v>388.82209999999998</v>
      </c>
      <c r="N130" s="3" t="s">
        <v>69</v>
      </c>
    </row>
    <row r="131" spans="1:14" x14ac:dyDescent="0.25">
      <c r="A131" s="51">
        <v>0.92</v>
      </c>
      <c r="B131" s="53">
        <v>3892.4521</v>
      </c>
      <c r="C131" s="53">
        <v>194.62260000000001</v>
      </c>
      <c r="D131" s="53">
        <v>97.311300000000003</v>
      </c>
      <c r="E131" s="53">
        <v>97.311300000000003</v>
      </c>
      <c r="F131" s="53">
        <v>389.24520000000001</v>
      </c>
      <c r="G131" s="53">
        <v>194.62260000000001</v>
      </c>
      <c r="H131" s="53">
        <v>194.62260000000001</v>
      </c>
      <c r="I131" s="53">
        <v>389.24520000000001</v>
      </c>
      <c r="J131" s="53">
        <v>389.24520000000001</v>
      </c>
      <c r="K131" s="53">
        <v>1167.7356</v>
      </c>
      <c r="L131" s="53">
        <v>389.24520000000001</v>
      </c>
      <c r="M131" s="53">
        <v>389.24520000000001</v>
      </c>
      <c r="N131" s="3" t="s">
        <v>69</v>
      </c>
    </row>
    <row r="132" spans="1:14" x14ac:dyDescent="0.25">
      <c r="A132" s="51">
        <v>0.92100000000000004</v>
      </c>
      <c r="B132" s="53">
        <v>3896.6831000000002</v>
      </c>
      <c r="C132" s="53">
        <v>194.83420000000001</v>
      </c>
      <c r="D132" s="53">
        <v>97.417100000000005</v>
      </c>
      <c r="E132" s="53">
        <v>97.417100000000005</v>
      </c>
      <c r="F132" s="53">
        <v>389.66829999999999</v>
      </c>
      <c r="G132" s="53">
        <v>194.83420000000001</v>
      </c>
      <c r="H132" s="53">
        <v>194.83420000000001</v>
      </c>
      <c r="I132" s="53">
        <v>389.66829999999999</v>
      </c>
      <c r="J132" s="53">
        <v>389.66829999999999</v>
      </c>
      <c r="K132" s="53">
        <v>1169.0048999999999</v>
      </c>
      <c r="L132" s="53">
        <v>389.66829999999999</v>
      </c>
      <c r="M132" s="53">
        <v>389.66829999999999</v>
      </c>
      <c r="N132" s="3" t="s">
        <v>69</v>
      </c>
    </row>
    <row r="133" spans="1:14" x14ac:dyDescent="0.25">
      <c r="A133" s="51">
        <v>0.92200000000000004</v>
      </c>
      <c r="B133" s="53">
        <v>3900.9140000000002</v>
      </c>
      <c r="C133" s="53">
        <v>195.04570000000001</v>
      </c>
      <c r="D133" s="53">
        <v>97.522800000000004</v>
      </c>
      <c r="E133" s="53">
        <v>97.522800000000004</v>
      </c>
      <c r="F133" s="53">
        <v>390.09140000000002</v>
      </c>
      <c r="G133" s="53">
        <v>195.04570000000001</v>
      </c>
      <c r="H133" s="53">
        <v>195.04570000000001</v>
      </c>
      <c r="I133" s="53">
        <v>390.09140000000002</v>
      </c>
      <c r="J133" s="53">
        <v>390.09140000000002</v>
      </c>
      <c r="K133" s="53">
        <v>1170.2742000000001</v>
      </c>
      <c r="L133" s="53">
        <v>390.09140000000002</v>
      </c>
      <c r="M133" s="53">
        <v>390.09140000000002</v>
      </c>
      <c r="N133" s="3" t="s">
        <v>69</v>
      </c>
    </row>
    <row r="134" spans="1:14" x14ac:dyDescent="0.25">
      <c r="A134" s="51">
        <v>0.92300000000000004</v>
      </c>
      <c r="B134" s="53">
        <v>3905.1448999999998</v>
      </c>
      <c r="C134" s="53">
        <v>195.25720000000001</v>
      </c>
      <c r="D134" s="53">
        <v>97.628600000000006</v>
      </c>
      <c r="E134" s="53">
        <v>97.628600000000006</v>
      </c>
      <c r="F134" s="53">
        <v>390.5145</v>
      </c>
      <c r="G134" s="53">
        <v>195.25720000000001</v>
      </c>
      <c r="H134" s="53">
        <v>195.25720000000001</v>
      </c>
      <c r="I134" s="53">
        <v>390.5145</v>
      </c>
      <c r="J134" s="53">
        <v>390.5145</v>
      </c>
      <c r="K134" s="53">
        <v>1171.5435</v>
      </c>
      <c r="L134" s="53">
        <v>390.5145</v>
      </c>
      <c r="M134" s="53">
        <v>390.5145</v>
      </c>
      <c r="N134" s="3" t="s">
        <v>69</v>
      </c>
    </row>
    <row r="135" spans="1:14" x14ac:dyDescent="0.25">
      <c r="A135" s="51">
        <v>0.92400000000000004</v>
      </c>
      <c r="B135" s="53">
        <v>3909.3757999999998</v>
      </c>
      <c r="C135" s="53">
        <v>195.46879999999999</v>
      </c>
      <c r="D135" s="53">
        <v>97.734399999999994</v>
      </c>
      <c r="E135" s="53">
        <v>97.734399999999994</v>
      </c>
      <c r="F135" s="53">
        <v>390.93759999999997</v>
      </c>
      <c r="G135" s="53">
        <v>195.46879999999999</v>
      </c>
      <c r="H135" s="53">
        <v>195.46879999999999</v>
      </c>
      <c r="I135" s="53">
        <v>390.93759999999997</v>
      </c>
      <c r="J135" s="53">
        <v>390.93759999999997</v>
      </c>
      <c r="K135" s="53">
        <v>1172.8127999999999</v>
      </c>
      <c r="L135" s="53">
        <v>390.93759999999997</v>
      </c>
      <c r="M135" s="53">
        <v>390.93759999999997</v>
      </c>
      <c r="N135" s="3" t="s">
        <v>69</v>
      </c>
    </row>
    <row r="136" spans="1:14" x14ac:dyDescent="0.25">
      <c r="A136" s="51">
        <v>0.92500000000000004</v>
      </c>
      <c r="B136" s="53">
        <v>3913.6068</v>
      </c>
      <c r="C136" s="53">
        <v>195.68029999999999</v>
      </c>
      <c r="D136" s="53">
        <v>97.840199999999996</v>
      </c>
      <c r="E136" s="53">
        <v>97.840199999999996</v>
      </c>
      <c r="F136" s="53">
        <v>391.36070000000001</v>
      </c>
      <c r="G136" s="53">
        <v>195.68029999999999</v>
      </c>
      <c r="H136" s="53">
        <v>195.68029999999999</v>
      </c>
      <c r="I136" s="53">
        <v>391.36070000000001</v>
      </c>
      <c r="J136" s="53">
        <v>391.36070000000001</v>
      </c>
      <c r="K136" s="53">
        <v>1174.0820000000001</v>
      </c>
      <c r="L136" s="53">
        <v>391.36070000000001</v>
      </c>
      <c r="M136" s="53">
        <v>391.36070000000001</v>
      </c>
      <c r="N136" s="3" t="s">
        <v>69</v>
      </c>
    </row>
    <row r="137" spans="1:14" x14ac:dyDescent="0.25">
      <c r="A137" s="51">
        <v>0.92600000000000005</v>
      </c>
      <c r="B137" s="53">
        <v>3917.8377</v>
      </c>
      <c r="C137" s="53">
        <v>195.89189999999999</v>
      </c>
      <c r="D137" s="53">
        <v>97.945899999999995</v>
      </c>
      <c r="E137" s="53">
        <v>97.945899999999995</v>
      </c>
      <c r="F137" s="53">
        <v>391.78379999999999</v>
      </c>
      <c r="G137" s="53">
        <v>195.89189999999999</v>
      </c>
      <c r="H137" s="53">
        <v>195.89189999999999</v>
      </c>
      <c r="I137" s="53">
        <v>391.78379999999999</v>
      </c>
      <c r="J137" s="53">
        <v>391.78379999999999</v>
      </c>
      <c r="K137" s="53">
        <v>1175.3513</v>
      </c>
      <c r="L137" s="53">
        <v>391.78379999999999</v>
      </c>
      <c r="M137" s="53">
        <v>391.78379999999999</v>
      </c>
      <c r="N137" s="3" t="s">
        <v>69</v>
      </c>
    </row>
    <row r="138" spans="1:14" x14ac:dyDescent="0.25">
      <c r="A138" s="51">
        <v>0.92700000000000005</v>
      </c>
      <c r="B138" s="53">
        <v>3922.0686000000001</v>
      </c>
      <c r="C138" s="53">
        <v>196.10339999999999</v>
      </c>
      <c r="D138" s="53">
        <v>98.051699999999997</v>
      </c>
      <c r="E138" s="53">
        <v>98.051699999999997</v>
      </c>
      <c r="F138" s="53">
        <v>392.20690000000002</v>
      </c>
      <c r="G138" s="53">
        <v>196.10339999999999</v>
      </c>
      <c r="H138" s="53">
        <v>196.10339999999999</v>
      </c>
      <c r="I138" s="53">
        <v>392.20690000000002</v>
      </c>
      <c r="J138" s="53">
        <v>392.20690000000002</v>
      </c>
      <c r="K138" s="53">
        <v>1176.6206</v>
      </c>
      <c r="L138" s="53">
        <v>392.20690000000002</v>
      </c>
      <c r="M138" s="53">
        <v>392.20690000000002</v>
      </c>
      <c r="N138" s="3" t="s">
        <v>69</v>
      </c>
    </row>
    <row r="139" spans="1:14" x14ac:dyDescent="0.25">
      <c r="A139" s="51">
        <v>0.92800000000000005</v>
      </c>
      <c r="B139" s="53">
        <v>3926.2995999999998</v>
      </c>
      <c r="C139" s="53">
        <v>196.315</v>
      </c>
      <c r="D139" s="53">
        <v>98.157499999999999</v>
      </c>
      <c r="E139" s="53">
        <v>98.157499999999999</v>
      </c>
      <c r="F139" s="53">
        <v>392.63</v>
      </c>
      <c r="G139" s="53">
        <v>196.315</v>
      </c>
      <c r="H139" s="53">
        <v>196.315</v>
      </c>
      <c r="I139" s="53">
        <v>392.63</v>
      </c>
      <c r="J139" s="53">
        <v>392.63</v>
      </c>
      <c r="K139" s="53">
        <v>1177.8898999999999</v>
      </c>
      <c r="L139" s="53">
        <v>392.63</v>
      </c>
      <c r="M139" s="53">
        <v>392.63</v>
      </c>
      <c r="N139" s="3" t="s">
        <v>69</v>
      </c>
    </row>
    <row r="140" spans="1:14" x14ac:dyDescent="0.25">
      <c r="A140" s="51">
        <v>0.92900000000000005</v>
      </c>
      <c r="B140" s="53">
        <v>3930.5304999999998</v>
      </c>
      <c r="C140" s="53">
        <v>196.5265</v>
      </c>
      <c r="D140" s="53">
        <v>98.263300000000001</v>
      </c>
      <c r="E140" s="53">
        <v>98.263300000000001</v>
      </c>
      <c r="F140" s="53">
        <v>393.053</v>
      </c>
      <c r="G140" s="53">
        <v>196.5265</v>
      </c>
      <c r="H140" s="53">
        <v>196.5265</v>
      </c>
      <c r="I140" s="53">
        <v>393.053</v>
      </c>
      <c r="J140" s="53">
        <v>393.053</v>
      </c>
      <c r="K140" s="53">
        <v>1179.1591000000001</v>
      </c>
      <c r="L140" s="53">
        <v>393.053</v>
      </c>
      <c r="M140" s="53">
        <v>393.053</v>
      </c>
      <c r="N140" s="3" t="s">
        <v>69</v>
      </c>
    </row>
    <row r="141" spans="1:14" x14ac:dyDescent="0.25">
      <c r="A141" s="51">
        <v>0.93</v>
      </c>
      <c r="B141" s="53">
        <v>3934.7613999999999</v>
      </c>
      <c r="C141" s="53">
        <v>196.7381</v>
      </c>
      <c r="D141" s="53">
        <v>98.369</v>
      </c>
      <c r="E141" s="53">
        <v>98.369</v>
      </c>
      <c r="F141" s="53">
        <v>393.47609999999997</v>
      </c>
      <c r="G141" s="53">
        <v>196.7381</v>
      </c>
      <c r="H141" s="53">
        <v>196.7381</v>
      </c>
      <c r="I141" s="53">
        <v>393.47609999999997</v>
      </c>
      <c r="J141" s="53">
        <v>393.47609999999997</v>
      </c>
      <c r="K141" s="53">
        <v>1180.4284</v>
      </c>
      <c r="L141" s="53">
        <v>393.47609999999997</v>
      </c>
      <c r="M141" s="53">
        <v>393.47609999999997</v>
      </c>
      <c r="N141" s="3" t="s">
        <v>69</v>
      </c>
    </row>
    <row r="142" spans="1:14" x14ac:dyDescent="0.25">
      <c r="A142" s="51">
        <v>0.93100000000000005</v>
      </c>
      <c r="B142" s="53">
        <v>3938.9922999999999</v>
      </c>
      <c r="C142" s="53">
        <v>196.9496</v>
      </c>
      <c r="D142" s="53">
        <v>98.474800000000002</v>
      </c>
      <c r="E142" s="53">
        <v>98.474800000000002</v>
      </c>
      <c r="F142" s="53">
        <v>393.89920000000001</v>
      </c>
      <c r="G142" s="53">
        <v>196.9496</v>
      </c>
      <c r="H142" s="53">
        <v>196.9496</v>
      </c>
      <c r="I142" s="53">
        <v>393.89920000000001</v>
      </c>
      <c r="J142" s="53">
        <v>393.89920000000001</v>
      </c>
      <c r="K142" s="53">
        <v>1181.6976999999999</v>
      </c>
      <c r="L142" s="53">
        <v>393.89920000000001</v>
      </c>
      <c r="M142" s="53">
        <v>393.89920000000001</v>
      </c>
      <c r="N142" s="3" t="s">
        <v>69</v>
      </c>
    </row>
    <row r="143" spans="1:14" x14ac:dyDescent="0.25">
      <c r="A143" s="51">
        <v>0.93200000000000005</v>
      </c>
      <c r="B143" s="53">
        <v>3943.2233000000001</v>
      </c>
      <c r="C143" s="53">
        <v>197.16120000000001</v>
      </c>
      <c r="D143" s="53">
        <v>98.580600000000004</v>
      </c>
      <c r="E143" s="53">
        <v>98.580600000000004</v>
      </c>
      <c r="F143" s="53">
        <v>394.32229999999998</v>
      </c>
      <c r="G143" s="53">
        <v>197.16120000000001</v>
      </c>
      <c r="H143" s="53">
        <v>197.16120000000001</v>
      </c>
      <c r="I143" s="53">
        <v>394.32229999999998</v>
      </c>
      <c r="J143" s="53">
        <v>394.32229999999998</v>
      </c>
      <c r="K143" s="53">
        <v>1182.9670000000001</v>
      </c>
      <c r="L143" s="53">
        <v>394.32229999999998</v>
      </c>
      <c r="M143" s="53">
        <v>394.32229999999998</v>
      </c>
      <c r="N143" s="3" t="s">
        <v>69</v>
      </c>
    </row>
    <row r="144" spans="1:14" x14ac:dyDescent="0.25">
      <c r="A144" s="51">
        <v>0.93300000000000005</v>
      </c>
      <c r="B144" s="53">
        <v>3947.4542000000001</v>
      </c>
      <c r="C144" s="53">
        <v>197.37270000000001</v>
      </c>
      <c r="D144" s="53">
        <v>98.686400000000006</v>
      </c>
      <c r="E144" s="53">
        <v>98.686400000000006</v>
      </c>
      <c r="F144" s="53">
        <v>394.74540000000002</v>
      </c>
      <c r="G144" s="53">
        <v>197.37270000000001</v>
      </c>
      <c r="H144" s="53">
        <v>197.37270000000001</v>
      </c>
      <c r="I144" s="53">
        <v>394.74540000000002</v>
      </c>
      <c r="J144" s="53">
        <v>394.74540000000002</v>
      </c>
      <c r="K144" s="53">
        <v>1184.2363</v>
      </c>
      <c r="L144" s="53">
        <v>394.74540000000002</v>
      </c>
      <c r="M144" s="53">
        <v>394.74540000000002</v>
      </c>
      <c r="N144" s="3" t="s">
        <v>69</v>
      </c>
    </row>
    <row r="145" spans="1:14" x14ac:dyDescent="0.25">
      <c r="A145" s="51">
        <v>0.93400000000000005</v>
      </c>
      <c r="B145" s="53">
        <v>3951.6851000000001</v>
      </c>
      <c r="C145" s="53">
        <v>197.58430000000001</v>
      </c>
      <c r="D145" s="53">
        <v>98.792100000000005</v>
      </c>
      <c r="E145" s="53">
        <v>98.792100000000005</v>
      </c>
      <c r="F145" s="53">
        <v>395.16849999999999</v>
      </c>
      <c r="G145" s="53">
        <v>197.58430000000001</v>
      </c>
      <c r="H145" s="53">
        <v>197.58430000000001</v>
      </c>
      <c r="I145" s="53">
        <v>395.16849999999999</v>
      </c>
      <c r="J145" s="53">
        <v>395.16849999999999</v>
      </c>
      <c r="K145" s="53">
        <v>1185.5055</v>
      </c>
      <c r="L145" s="53">
        <v>395.16849999999999</v>
      </c>
      <c r="M145" s="53">
        <v>395.16849999999999</v>
      </c>
      <c r="N145" s="3" t="s">
        <v>69</v>
      </c>
    </row>
    <row r="146" spans="1:14" x14ac:dyDescent="0.25">
      <c r="A146" s="51">
        <v>0.93500000000000005</v>
      </c>
      <c r="B146" s="53">
        <v>3955.9160000000002</v>
      </c>
      <c r="C146" s="53">
        <v>197.79580000000001</v>
      </c>
      <c r="D146" s="53">
        <v>98.897900000000007</v>
      </c>
      <c r="E146" s="53">
        <v>98.897900000000007</v>
      </c>
      <c r="F146" s="53">
        <v>395.59160000000003</v>
      </c>
      <c r="G146" s="53">
        <v>197.79580000000001</v>
      </c>
      <c r="H146" s="53">
        <v>197.79580000000001</v>
      </c>
      <c r="I146" s="53">
        <v>395.59160000000003</v>
      </c>
      <c r="J146" s="53">
        <v>395.59160000000003</v>
      </c>
      <c r="K146" s="53">
        <v>1186.7747999999999</v>
      </c>
      <c r="L146" s="53">
        <v>395.59160000000003</v>
      </c>
      <c r="M146" s="53">
        <v>395.59160000000003</v>
      </c>
      <c r="N146" s="3" t="s">
        <v>69</v>
      </c>
    </row>
    <row r="147" spans="1:14" x14ac:dyDescent="0.25">
      <c r="A147" s="51">
        <v>0.93600000000000005</v>
      </c>
      <c r="B147" s="53">
        <v>3960.1469999999999</v>
      </c>
      <c r="C147" s="53">
        <v>198.00729999999999</v>
      </c>
      <c r="D147" s="53">
        <v>99.003699999999995</v>
      </c>
      <c r="E147" s="53">
        <v>99.003699999999995</v>
      </c>
      <c r="F147" s="53">
        <v>396.0147</v>
      </c>
      <c r="G147" s="53">
        <v>198.00729999999999</v>
      </c>
      <c r="H147" s="53">
        <v>198.00729999999999</v>
      </c>
      <c r="I147" s="53">
        <v>396.0147</v>
      </c>
      <c r="J147" s="53">
        <v>396.0147</v>
      </c>
      <c r="K147" s="53">
        <v>1188.0441000000001</v>
      </c>
      <c r="L147" s="53">
        <v>396.0147</v>
      </c>
      <c r="M147" s="53">
        <v>396.0147</v>
      </c>
      <c r="N147" s="3" t="s">
        <v>69</v>
      </c>
    </row>
    <row r="148" spans="1:14" x14ac:dyDescent="0.25">
      <c r="A148" s="51">
        <v>0.93700000000000006</v>
      </c>
      <c r="B148" s="53">
        <v>3964.3779</v>
      </c>
      <c r="C148" s="53">
        <v>198.21889999999999</v>
      </c>
      <c r="D148" s="53">
        <v>99.109399999999994</v>
      </c>
      <c r="E148" s="53">
        <v>99.109399999999994</v>
      </c>
      <c r="F148" s="53">
        <v>396.43779999999998</v>
      </c>
      <c r="G148" s="53">
        <v>198.21889999999999</v>
      </c>
      <c r="H148" s="53">
        <v>198.21889999999999</v>
      </c>
      <c r="I148" s="53">
        <v>396.43779999999998</v>
      </c>
      <c r="J148" s="53">
        <v>396.43779999999998</v>
      </c>
      <c r="K148" s="53">
        <v>1189.3134</v>
      </c>
      <c r="L148" s="53">
        <v>396.43779999999998</v>
      </c>
      <c r="M148" s="53">
        <v>396.43779999999998</v>
      </c>
      <c r="N148" s="3" t="s">
        <v>69</v>
      </c>
    </row>
    <row r="149" spans="1:14" x14ac:dyDescent="0.25">
      <c r="A149" s="51">
        <v>0.93799999999999994</v>
      </c>
      <c r="B149" s="53">
        <v>3968.6088</v>
      </c>
      <c r="C149" s="53">
        <v>198.43039999999999</v>
      </c>
      <c r="D149" s="53">
        <v>99.215199999999996</v>
      </c>
      <c r="E149" s="53">
        <v>99.215199999999996</v>
      </c>
      <c r="F149" s="53">
        <v>396.86090000000002</v>
      </c>
      <c r="G149" s="53">
        <v>198.43039999999999</v>
      </c>
      <c r="H149" s="53">
        <v>198.43039999999999</v>
      </c>
      <c r="I149" s="53">
        <v>396.86090000000002</v>
      </c>
      <c r="J149" s="53">
        <v>396.86090000000002</v>
      </c>
      <c r="K149" s="53">
        <v>1190.5826</v>
      </c>
      <c r="L149" s="53">
        <v>396.86090000000002</v>
      </c>
      <c r="M149" s="53">
        <v>396.86090000000002</v>
      </c>
      <c r="N149" s="3" t="s">
        <v>69</v>
      </c>
    </row>
    <row r="150" spans="1:14" x14ac:dyDescent="0.25">
      <c r="A150" s="51">
        <v>0.93899999999999995</v>
      </c>
      <c r="B150" s="53">
        <v>3972.8397</v>
      </c>
      <c r="C150" s="53">
        <v>198.642</v>
      </c>
      <c r="D150" s="53">
        <v>99.320999999999998</v>
      </c>
      <c r="E150" s="53">
        <v>99.320999999999998</v>
      </c>
      <c r="F150" s="53">
        <v>397.28399999999999</v>
      </c>
      <c r="G150" s="53">
        <v>198.642</v>
      </c>
      <c r="H150" s="53">
        <v>198.642</v>
      </c>
      <c r="I150" s="53">
        <v>397.28399999999999</v>
      </c>
      <c r="J150" s="53">
        <v>397.28399999999999</v>
      </c>
      <c r="K150" s="53">
        <v>1191.8518999999999</v>
      </c>
      <c r="L150" s="53">
        <v>397.28399999999999</v>
      </c>
      <c r="M150" s="53">
        <v>397.28399999999999</v>
      </c>
      <c r="N150" s="3" t="s">
        <v>69</v>
      </c>
    </row>
    <row r="151" spans="1:14" x14ac:dyDescent="0.25">
      <c r="A151" s="51">
        <v>0.94</v>
      </c>
      <c r="B151" s="53">
        <v>3977.0707000000002</v>
      </c>
      <c r="C151" s="53">
        <v>198.8535</v>
      </c>
      <c r="D151" s="53">
        <v>99.4268</v>
      </c>
      <c r="E151" s="53">
        <v>99.4268</v>
      </c>
      <c r="F151" s="53">
        <v>397.70710000000003</v>
      </c>
      <c r="G151" s="53">
        <v>198.8535</v>
      </c>
      <c r="H151" s="53">
        <v>198.8535</v>
      </c>
      <c r="I151" s="53">
        <v>397.70710000000003</v>
      </c>
      <c r="J151" s="53">
        <v>397.70710000000003</v>
      </c>
      <c r="K151" s="53">
        <v>1193.1212</v>
      </c>
      <c r="L151" s="53">
        <v>397.70710000000003</v>
      </c>
      <c r="M151" s="53">
        <v>397.70710000000003</v>
      </c>
      <c r="N151" s="3" t="s">
        <v>69</v>
      </c>
    </row>
    <row r="152" spans="1:14" x14ac:dyDescent="0.25">
      <c r="A152" s="51">
        <v>0.94099999999999995</v>
      </c>
      <c r="B152" s="53">
        <v>3981.3015999999998</v>
      </c>
      <c r="C152" s="53">
        <v>199.0651</v>
      </c>
      <c r="D152" s="53">
        <v>99.532499999999999</v>
      </c>
      <c r="E152" s="53">
        <v>99.532499999999999</v>
      </c>
      <c r="F152" s="53">
        <v>398.1302</v>
      </c>
      <c r="G152" s="53">
        <v>199.0651</v>
      </c>
      <c r="H152" s="53">
        <v>199.0651</v>
      </c>
      <c r="I152" s="53">
        <v>398.1302</v>
      </c>
      <c r="J152" s="53">
        <v>398.1302</v>
      </c>
      <c r="K152" s="53">
        <v>1194.3905</v>
      </c>
      <c r="L152" s="53">
        <v>398.1302</v>
      </c>
      <c r="M152" s="53">
        <v>398.1302</v>
      </c>
      <c r="N152" s="3" t="s">
        <v>69</v>
      </c>
    </row>
    <row r="153" spans="1:14" x14ac:dyDescent="0.25">
      <c r="A153" s="51">
        <v>0.94199999999999995</v>
      </c>
      <c r="B153" s="53">
        <v>3985.5324999999998</v>
      </c>
      <c r="C153" s="53">
        <v>199.2766</v>
      </c>
      <c r="D153" s="53">
        <v>99.638300000000001</v>
      </c>
      <c r="E153" s="53">
        <v>99.638300000000001</v>
      </c>
      <c r="F153" s="53">
        <v>398.55329999999998</v>
      </c>
      <c r="G153" s="53">
        <v>199.2766</v>
      </c>
      <c r="H153" s="53">
        <v>199.2766</v>
      </c>
      <c r="I153" s="53">
        <v>398.55329999999998</v>
      </c>
      <c r="J153" s="53">
        <v>398.55329999999998</v>
      </c>
      <c r="K153" s="53">
        <v>1195.6597999999999</v>
      </c>
      <c r="L153" s="53">
        <v>398.55329999999998</v>
      </c>
      <c r="M153" s="53">
        <v>398.55329999999998</v>
      </c>
      <c r="N153" s="3" t="s">
        <v>69</v>
      </c>
    </row>
    <row r="154" spans="1:14" x14ac:dyDescent="0.25">
      <c r="A154" s="51">
        <v>0.94299999999999995</v>
      </c>
      <c r="B154" s="53">
        <v>3989.7633999999998</v>
      </c>
      <c r="C154" s="53">
        <v>199.48820000000001</v>
      </c>
      <c r="D154" s="53">
        <v>99.744100000000003</v>
      </c>
      <c r="E154" s="53">
        <v>99.744100000000003</v>
      </c>
      <c r="F154" s="53">
        <v>398.97629999999998</v>
      </c>
      <c r="G154" s="53">
        <v>199.48820000000001</v>
      </c>
      <c r="H154" s="53">
        <v>199.48820000000001</v>
      </c>
      <c r="I154" s="53">
        <v>398.97629999999998</v>
      </c>
      <c r="J154" s="53">
        <v>398.97629999999998</v>
      </c>
      <c r="K154" s="53">
        <v>1196.9290000000001</v>
      </c>
      <c r="L154" s="53">
        <v>398.97629999999998</v>
      </c>
      <c r="M154" s="53">
        <v>398.97629999999998</v>
      </c>
      <c r="N154" s="3" t="s">
        <v>69</v>
      </c>
    </row>
    <row r="155" spans="1:14" x14ac:dyDescent="0.25">
      <c r="A155" s="51">
        <v>0.94399999999999995</v>
      </c>
      <c r="B155" s="53">
        <v>3993.9944</v>
      </c>
      <c r="C155" s="53">
        <v>199.69970000000001</v>
      </c>
      <c r="D155" s="53">
        <v>99.849900000000005</v>
      </c>
      <c r="E155" s="53">
        <v>99.849900000000005</v>
      </c>
      <c r="F155" s="53">
        <v>399.39940000000001</v>
      </c>
      <c r="G155" s="53">
        <v>199.69970000000001</v>
      </c>
      <c r="H155" s="53">
        <v>199.69970000000001</v>
      </c>
      <c r="I155" s="53">
        <v>399.39940000000001</v>
      </c>
      <c r="J155" s="53">
        <v>399.39940000000001</v>
      </c>
      <c r="K155" s="53">
        <v>1198.1983</v>
      </c>
      <c r="L155" s="53">
        <v>399.39940000000001</v>
      </c>
      <c r="M155" s="53">
        <v>399.39940000000001</v>
      </c>
      <c r="N155" s="3" t="s">
        <v>69</v>
      </c>
    </row>
    <row r="156" spans="1:14" x14ac:dyDescent="0.25">
      <c r="A156" s="51">
        <v>0.94499999999999995</v>
      </c>
      <c r="B156" s="53">
        <v>3998.2253000000001</v>
      </c>
      <c r="C156" s="53">
        <v>199.91130000000001</v>
      </c>
      <c r="D156" s="53">
        <v>99.955600000000004</v>
      </c>
      <c r="E156" s="53">
        <v>99.955600000000004</v>
      </c>
      <c r="F156" s="53">
        <v>399.82249999999999</v>
      </c>
      <c r="G156" s="53">
        <v>199.91130000000001</v>
      </c>
      <c r="H156" s="53">
        <v>199.91130000000001</v>
      </c>
      <c r="I156" s="53">
        <v>399.82249999999999</v>
      </c>
      <c r="J156" s="53">
        <v>399.82249999999999</v>
      </c>
      <c r="K156" s="53">
        <v>1199.4675999999999</v>
      </c>
      <c r="L156" s="53">
        <v>399.82249999999999</v>
      </c>
      <c r="M156" s="53">
        <v>399.82249999999999</v>
      </c>
      <c r="N156" s="3" t="s">
        <v>69</v>
      </c>
    </row>
    <row r="157" spans="1:14" x14ac:dyDescent="0.25">
      <c r="A157" s="51">
        <v>0.94599999999999995</v>
      </c>
      <c r="B157" s="53">
        <v>4002.4562000000001</v>
      </c>
      <c r="C157" s="53">
        <v>200.12280000000001</v>
      </c>
      <c r="D157" s="53">
        <v>100.06140000000001</v>
      </c>
      <c r="E157" s="53">
        <v>100.06140000000001</v>
      </c>
      <c r="F157" s="53">
        <v>400.24560000000002</v>
      </c>
      <c r="G157" s="53">
        <v>200.12280000000001</v>
      </c>
      <c r="H157" s="53">
        <v>200.12280000000001</v>
      </c>
      <c r="I157" s="53">
        <v>400.24560000000002</v>
      </c>
      <c r="J157" s="53">
        <v>400.24560000000002</v>
      </c>
      <c r="K157" s="53">
        <v>1200.7369000000001</v>
      </c>
      <c r="L157" s="53">
        <v>400.24560000000002</v>
      </c>
      <c r="M157" s="53">
        <v>400.24560000000002</v>
      </c>
      <c r="N157" s="3" t="s">
        <v>69</v>
      </c>
    </row>
    <row r="158" spans="1:14" x14ac:dyDescent="0.25">
      <c r="A158" s="51">
        <v>0.94699999999999995</v>
      </c>
      <c r="B158" s="53">
        <v>4006.6871999999998</v>
      </c>
      <c r="C158" s="53">
        <v>200.33439999999999</v>
      </c>
      <c r="D158" s="53">
        <v>100.16719999999999</v>
      </c>
      <c r="E158" s="53">
        <v>100.16719999999999</v>
      </c>
      <c r="F158" s="53">
        <v>400.6687</v>
      </c>
      <c r="G158" s="53">
        <v>200.33439999999999</v>
      </c>
      <c r="H158" s="53">
        <v>200.33439999999999</v>
      </c>
      <c r="I158" s="53">
        <v>400.6687</v>
      </c>
      <c r="J158" s="53">
        <v>400.6687</v>
      </c>
      <c r="K158" s="53">
        <v>1202.0061000000001</v>
      </c>
      <c r="L158" s="53">
        <v>400.6687</v>
      </c>
      <c r="M158" s="53">
        <v>400.6687</v>
      </c>
      <c r="N158" s="3" t="s">
        <v>69</v>
      </c>
    </row>
    <row r="159" spans="1:14" x14ac:dyDescent="0.25">
      <c r="A159" s="51">
        <v>0.94799999999999995</v>
      </c>
      <c r="B159" s="53">
        <v>4010.9180999999999</v>
      </c>
      <c r="C159" s="53">
        <v>200.54589999999999</v>
      </c>
      <c r="D159" s="53">
        <v>100.273</v>
      </c>
      <c r="E159" s="53">
        <v>100.273</v>
      </c>
      <c r="F159" s="53">
        <v>401.09179999999998</v>
      </c>
      <c r="G159" s="53">
        <v>200.54589999999999</v>
      </c>
      <c r="H159" s="53">
        <v>200.54589999999999</v>
      </c>
      <c r="I159" s="53">
        <v>401.09179999999998</v>
      </c>
      <c r="J159" s="53">
        <v>401.09179999999998</v>
      </c>
      <c r="K159" s="53">
        <v>1203.2754</v>
      </c>
      <c r="L159" s="53">
        <v>401.09179999999998</v>
      </c>
      <c r="M159" s="53">
        <v>401.09179999999998</v>
      </c>
      <c r="N159" s="3" t="s">
        <v>69</v>
      </c>
    </row>
    <row r="160" spans="1:14" x14ac:dyDescent="0.25">
      <c r="A160" s="51">
        <v>0.94899999999999995</v>
      </c>
      <c r="B160" s="53">
        <v>4015.1489999999999</v>
      </c>
      <c r="C160" s="53">
        <v>200.75749999999999</v>
      </c>
      <c r="D160" s="53">
        <v>100.37869999999999</v>
      </c>
      <c r="E160" s="53">
        <v>100.37869999999999</v>
      </c>
      <c r="F160" s="53">
        <v>401.51490000000001</v>
      </c>
      <c r="G160" s="53">
        <v>200.75749999999999</v>
      </c>
      <c r="H160" s="53">
        <v>200.75749999999999</v>
      </c>
      <c r="I160" s="53">
        <v>401.51490000000001</v>
      </c>
      <c r="J160" s="53">
        <v>401.51490000000001</v>
      </c>
      <c r="K160" s="53">
        <v>1204.5446999999999</v>
      </c>
      <c r="L160" s="53">
        <v>401.51490000000001</v>
      </c>
      <c r="M160" s="53">
        <v>401.51490000000001</v>
      </c>
      <c r="N160" s="3" t="s">
        <v>69</v>
      </c>
    </row>
    <row r="161" spans="1:14" x14ac:dyDescent="0.25">
      <c r="A161" s="51">
        <v>0.95</v>
      </c>
      <c r="B161" s="53">
        <v>4019.3798999999999</v>
      </c>
      <c r="C161" s="53">
        <v>200.96899999999999</v>
      </c>
      <c r="D161" s="53">
        <v>100.4845</v>
      </c>
      <c r="E161" s="53">
        <v>100.4845</v>
      </c>
      <c r="F161" s="53">
        <v>401.93799999999999</v>
      </c>
      <c r="G161" s="53">
        <v>200.96899999999999</v>
      </c>
      <c r="H161" s="53">
        <v>200.96899999999999</v>
      </c>
      <c r="I161" s="53">
        <v>401.93799999999999</v>
      </c>
      <c r="J161" s="53">
        <v>401.93799999999999</v>
      </c>
      <c r="K161" s="53">
        <v>1205.8140000000001</v>
      </c>
      <c r="L161" s="53">
        <v>401.93799999999999</v>
      </c>
      <c r="M161" s="53">
        <v>401.93799999999999</v>
      </c>
      <c r="N161" s="3" t="s">
        <v>69</v>
      </c>
    </row>
    <row r="162" spans="1:14" x14ac:dyDescent="0.25">
      <c r="A162" s="51">
        <v>0.95099999999999996</v>
      </c>
      <c r="B162" s="53">
        <v>4023.6109000000001</v>
      </c>
      <c r="C162" s="53">
        <v>201.18049999999999</v>
      </c>
      <c r="D162" s="53">
        <v>100.5903</v>
      </c>
      <c r="E162" s="53">
        <v>100.5903</v>
      </c>
      <c r="F162" s="53">
        <v>402.36110000000002</v>
      </c>
      <c r="G162" s="53">
        <v>201.18049999999999</v>
      </c>
      <c r="H162" s="53">
        <v>201.18049999999999</v>
      </c>
      <c r="I162" s="53">
        <v>402.36110000000002</v>
      </c>
      <c r="J162" s="53">
        <v>402.36110000000002</v>
      </c>
      <c r="K162" s="53">
        <v>1207.0833</v>
      </c>
      <c r="L162" s="53">
        <v>402.36110000000002</v>
      </c>
      <c r="M162" s="53">
        <v>402.36110000000002</v>
      </c>
      <c r="N162" s="3" t="s">
        <v>69</v>
      </c>
    </row>
    <row r="163" spans="1:14" x14ac:dyDescent="0.25">
      <c r="A163" s="51">
        <v>0.95199999999999996</v>
      </c>
      <c r="B163" s="53">
        <v>4027.8418000000001</v>
      </c>
      <c r="C163" s="53">
        <v>201.3921</v>
      </c>
      <c r="D163" s="53">
        <v>100.696</v>
      </c>
      <c r="E163" s="53">
        <v>100.696</v>
      </c>
      <c r="F163" s="53">
        <v>402.7842</v>
      </c>
      <c r="G163" s="53">
        <v>201.3921</v>
      </c>
      <c r="H163" s="53">
        <v>201.3921</v>
      </c>
      <c r="I163" s="53">
        <v>402.7842</v>
      </c>
      <c r="J163" s="53">
        <v>402.7842</v>
      </c>
      <c r="K163" s="53">
        <v>1208.3525</v>
      </c>
      <c r="L163" s="53">
        <v>402.7842</v>
      </c>
      <c r="M163" s="53">
        <v>402.7842</v>
      </c>
      <c r="N163" s="3" t="s">
        <v>69</v>
      </c>
    </row>
    <row r="164" spans="1:14" x14ac:dyDescent="0.25">
      <c r="A164" s="51">
        <v>0.95299999999999996</v>
      </c>
      <c r="B164" s="53">
        <v>4032.0727000000002</v>
      </c>
      <c r="C164" s="53">
        <v>201.6036</v>
      </c>
      <c r="D164" s="53">
        <v>100.8018</v>
      </c>
      <c r="E164" s="53">
        <v>100.8018</v>
      </c>
      <c r="F164" s="53">
        <v>403.20729999999998</v>
      </c>
      <c r="G164" s="53">
        <v>201.6036</v>
      </c>
      <c r="H164" s="53">
        <v>201.6036</v>
      </c>
      <c r="I164" s="53">
        <v>403.20729999999998</v>
      </c>
      <c r="J164" s="53">
        <v>403.20729999999998</v>
      </c>
      <c r="K164" s="53">
        <v>1209.6217999999999</v>
      </c>
      <c r="L164" s="53">
        <v>403.20729999999998</v>
      </c>
      <c r="M164" s="53">
        <v>403.20729999999998</v>
      </c>
      <c r="N164" s="3" t="s">
        <v>69</v>
      </c>
    </row>
    <row r="165" spans="1:14" x14ac:dyDescent="0.25">
      <c r="A165" s="51">
        <v>0.95399999999999996</v>
      </c>
      <c r="B165" s="53">
        <v>4036.3036000000002</v>
      </c>
      <c r="C165" s="53">
        <v>201.8152</v>
      </c>
      <c r="D165" s="53">
        <v>100.9076</v>
      </c>
      <c r="E165" s="53">
        <v>100.9076</v>
      </c>
      <c r="F165" s="53">
        <v>403.63040000000001</v>
      </c>
      <c r="G165" s="53">
        <v>201.8152</v>
      </c>
      <c r="H165" s="53">
        <v>201.8152</v>
      </c>
      <c r="I165" s="53">
        <v>403.63040000000001</v>
      </c>
      <c r="J165" s="53">
        <v>403.63040000000001</v>
      </c>
      <c r="K165" s="53">
        <v>1210.8911000000001</v>
      </c>
      <c r="L165" s="53">
        <v>403.63040000000001</v>
      </c>
      <c r="M165" s="53">
        <v>403.63040000000001</v>
      </c>
      <c r="N165" s="3" t="s">
        <v>69</v>
      </c>
    </row>
    <row r="166" spans="1:14" x14ac:dyDescent="0.25">
      <c r="A166" s="51">
        <v>0.95499999999999996</v>
      </c>
      <c r="B166" s="53">
        <v>4040.5346</v>
      </c>
      <c r="C166" s="53">
        <v>202.02670000000001</v>
      </c>
      <c r="D166" s="53">
        <v>101.0134</v>
      </c>
      <c r="E166" s="53">
        <v>101.0134</v>
      </c>
      <c r="F166" s="53">
        <v>404.05349999999999</v>
      </c>
      <c r="G166" s="53">
        <v>202.02670000000001</v>
      </c>
      <c r="H166" s="53">
        <v>202.02670000000001</v>
      </c>
      <c r="I166" s="53">
        <v>404.05349999999999</v>
      </c>
      <c r="J166" s="53">
        <v>404.05349999999999</v>
      </c>
      <c r="K166" s="53">
        <v>1212.1604</v>
      </c>
      <c r="L166" s="53">
        <v>404.05349999999999</v>
      </c>
      <c r="M166" s="53">
        <v>404.05349999999999</v>
      </c>
      <c r="N166" s="3" t="s">
        <v>69</v>
      </c>
    </row>
    <row r="167" spans="1:14" x14ac:dyDescent="0.25">
      <c r="A167" s="51">
        <v>0.95599999999999996</v>
      </c>
      <c r="B167" s="53">
        <v>4044.7655</v>
      </c>
      <c r="C167" s="53">
        <v>202.23830000000001</v>
      </c>
      <c r="D167" s="53">
        <v>101.1191</v>
      </c>
      <c r="E167" s="53">
        <v>101.1191</v>
      </c>
      <c r="F167" s="53">
        <v>404.47649999999999</v>
      </c>
      <c r="G167" s="53">
        <v>202.23830000000001</v>
      </c>
      <c r="H167" s="53">
        <v>202.23830000000001</v>
      </c>
      <c r="I167" s="53">
        <v>404.47649999999999</v>
      </c>
      <c r="J167" s="53">
        <v>404.47649999999999</v>
      </c>
      <c r="K167" s="53">
        <v>1213.4295999999999</v>
      </c>
      <c r="L167" s="53">
        <v>404.47649999999999</v>
      </c>
      <c r="M167" s="53">
        <v>404.47649999999999</v>
      </c>
      <c r="N167" s="3" t="s">
        <v>69</v>
      </c>
    </row>
    <row r="168" spans="1:14" x14ac:dyDescent="0.25">
      <c r="A168" s="51">
        <v>0.95699999999999996</v>
      </c>
      <c r="B168" s="53">
        <v>4048.9964</v>
      </c>
      <c r="C168" s="53">
        <v>202.44980000000001</v>
      </c>
      <c r="D168" s="53">
        <v>101.22490000000001</v>
      </c>
      <c r="E168" s="53">
        <v>101.22490000000001</v>
      </c>
      <c r="F168" s="53">
        <v>404.89960000000002</v>
      </c>
      <c r="G168" s="53">
        <v>202.44980000000001</v>
      </c>
      <c r="H168" s="53">
        <v>202.44980000000001</v>
      </c>
      <c r="I168" s="53">
        <v>404.89960000000002</v>
      </c>
      <c r="J168" s="53">
        <v>404.89960000000002</v>
      </c>
      <c r="K168" s="53">
        <v>1214.6989000000001</v>
      </c>
      <c r="L168" s="53">
        <v>404.89960000000002</v>
      </c>
      <c r="M168" s="53">
        <v>404.89960000000002</v>
      </c>
      <c r="N168" s="3" t="s">
        <v>69</v>
      </c>
    </row>
    <row r="169" spans="1:14" x14ac:dyDescent="0.25">
      <c r="A169" s="51">
        <v>0.95799999999999996</v>
      </c>
      <c r="B169" s="53">
        <v>4053.2273</v>
      </c>
      <c r="C169" s="53">
        <v>202.66139999999999</v>
      </c>
      <c r="D169" s="53">
        <v>101.33069999999999</v>
      </c>
      <c r="E169" s="53">
        <v>101.33069999999999</v>
      </c>
      <c r="F169" s="53">
        <v>405.3227</v>
      </c>
      <c r="G169" s="53">
        <v>202.66139999999999</v>
      </c>
      <c r="H169" s="53">
        <v>202.66139999999999</v>
      </c>
      <c r="I169" s="53">
        <v>405.3227</v>
      </c>
      <c r="J169" s="53">
        <v>405.3227</v>
      </c>
      <c r="K169" s="53">
        <v>1215.9682</v>
      </c>
      <c r="L169" s="53">
        <v>405.3227</v>
      </c>
      <c r="M169" s="53">
        <v>405.3227</v>
      </c>
      <c r="N169" s="3" t="s">
        <v>69</v>
      </c>
    </row>
    <row r="170" spans="1:14" x14ac:dyDescent="0.25">
      <c r="A170" s="51">
        <v>0.95899999999999996</v>
      </c>
      <c r="B170" s="53">
        <v>4057.4582999999998</v>
      </c>
      <c r="C170" s="53">
        <v>202.87289999999999</v>
      </c>
      <c r="D170" s="53">
        <v>101.4365</v>
      </c>
      <c r="E170" s="53">
        <v>101.4365</v>
      </c>
      <c r="F170" s="53">
        <v>405.74579999999997</v>
      </c>
      <c r="G170" s="53">
        <v>202.87289999999999</v>
      </c>
      <c r="H170" s="53">
        <v>202.87289999999999</v>
      </c>
      <c r="I170" s="53">
        <v>405.74579999999997</v>
      </c>
      <c r="J170" s="53">
        <v>405.74579999999997</v>
      </c>
      <c r="K170" s="53">
        <v>1217.2375</v>
      </c>
      <c r="L170" s="53">
        <v>405.74579999999997</v>
      </c>
      <c r="M170" s="53">
        <v>405.74579999999997</v>
      </c>
      <c r="N170" s="3" t="s">
        <v>69</v>
      </c>
    </row>
    <row r="171" spans="1:14" x14ac:dyDescent="0.25">
      <c r="A171" s="51">
        <v>0.96</v>
      </c>
      <c r="B171" s="53">
        <v>4061.6891999999998</v>
      </c>
      <c r="C171" s="53">
        <v>203.08449999999999</v>
      </c>
      <c r="D171" s="53">
        <v>101.54219999999999</v>
      </c>
      <c r="E171" s="53">
        <v>101.54219999999999</v>
      </c>
      <c r="F171" s="53">
        <v>406.16890000000001</v>
      </c>
      <c r="G171" s="53">
        <v>203.08449999999999</v>
      </c>
      <c r="H171" s="53">
        <v>203.08449999999999</v>
      </c>
      <c r="I171" s="53">
        <v>406.16890000000001</v>
      </c>
      <c r="J171" s="53">
        <v>406.16890000000001</v>
      </c>
      <c r="K171" s="53">
        <v>1218.5068000000001</v>
      </c>
      <c r="L171" s="53">
        <v>406.16890000000001</v>
      </c>
      <c r="M171" s="53">
        <v>406.16890000000001</v>
      </c>
      <c r="N171" s="3" t="s">
        <v>69</v>
      </c>
    </row>
    <row r="172" spans="1:14" x14ac:dyDescent="0.25">
      <c r="A172" s="51">
        <v>0.96099999999999997</v>
      </c>
      <c r="B172" s="53">
        <v>4065.9200999999998</v>
      </c>
      <c r="C172" s="53">
        <v>203.29599999999999</v>
      </c>
      <c r="D172" s="53">
        <v>101.648</v>
      </c>
      <c r="E172" s="53">
        <v>101.648</v>
      </c>
      <c r="F172" s="53">
        <v>406.59199999999998</v>
      </c>
      <c r="G172" s="53">
        <v>203.29599999999999</v>
      </c>
      <c r="H172" s="53">
        <v>203.29599999999999</v>
      </c>
      <c r="I172" s="53">
        <v>406.59199999999998</v>
      </c>
      <c r="J172" s="53">
        <v>406.59199999999998</v>
      </c>
      <c r="K172" s="53">
        <v>1219.7760000000001</v>
      </c>
      <c r="L172" s="53">
        <v>406.59199999999998</v>
      </c>
      <c r="M172" s="53">
        <v>406.59199999999998</v>
      </c>
      <c r="N172" s="3" t="s">
        <v>69</v>
      </c>
    </row>
    <row r="173" spans="1:14" x14ac:dyDescent="0.25">
      <c r="A173" s="51">
        <v>0.96199999999999997</v>
      </c>
      <c r="B173" s="53">
        <v>4070.1509999999998</v>
      </c>
      <c r="C173" s="53">
        <v>203.5076</v>
      </c>
      <c r="D173" s="53">
        <v>101.7538</v>
      </c>
      <c r="E173" s="53">
        <v>101.7538</v>
      </c>
      <c r="F173" s="53">
        <v>407.01510000000002</v>
      </c>
      <c r="G173" s="53">
        <v>203.5076</v>
      </c>
      <c r="H173" s="53">
        <v>203.5076</v>
      </c>
      <c r="I173" s="53">
        <v>407.01510000000002</v>
      </c>
      <c r="J173" s="53">
        <v>407.01510000000002</v>
      </c>
      <c r="K173" s="53">
        <v>1221.0453</v>
      </c>
      <c r="L173" s="53">
        <v>407.01510000000002</v>
      </c>
      <c r="M173" s="53">
        <v>407.01510000000002</v>
      </c>
      <c r="N173" s="3" t="s">
        <v>69</v>
      </c>
    </row>
    <row r="174" spans="1:14" x14ac:dyDescent="0.25">
      <c r="A174" s="51">
        <v>0.96299999999999997</v>
      </c>
      <c r="B174" s="53">
        <v>4074.3820000000001</v>
      </c>
      <c r="C174" s="53">
        <v>203.7191</v>
      </c>
      <c r="D174" s="53">
        <v>101.8595</v>
      </c>
      <c r="E174" s="53">
        <v>101.8595</v>
      </c>
      <c r="F174" s="53">
        <v>407.43819999999999</v>
      </c>
      <c r="G174" s="53">
        <v>203.7191</v>
      </c>
      <c r="H174" s="53">
        <v>203.7191</v>
      </c>
      <c r="I174" s="53">
        <v>407.43819999999999</v>
      </c>
      <c r="J174" s="53">
        <v>407.43819999999999</v>
      </c>
      <c r="K174" s="53">
        <v>1222.3145999999999</v>
      </c>
      <c r="L174" s="53">
        <v>407.43819999999999</v>
      </c>
      <c r="M174" s="53">
        <v>407.43819999999999</v>
      </c>
      <c r="N174" s="3" t="s">
        <v>69</v>
      </c>
    </row>
    <row r="175" spans="1:14" x14ac:dyDescent="0.25">
      <c r="A175" s="51">
        <v>0.96399999999999997</v>
      </c>
      <c r="B175" s="53">
        <v>4078.6129000000001</v>
      </c>
      <c r="C175" s="53">
        <v>203.9306</v>
      </c>
      <c r="D175" s="53">
        <v>101.9653</v>
      </c>
      <c r="E175" s="53">
        <v>101.9653</v>
      </c>
      <c r="F175" s="53">
        <v>407.86130000000003</v>
      </c>
      <c r="G175" s="53">
        <v>203.9306</v>
      </c>
      <c r="H175" s="53">
        <v>203.9306</v>
      </c>
      <c r="I175" s="53">
        <v>407.86130000000003</v>
      </c>
      <c r="J175" s="53">
        <v>407.86130000000003</v>
      </c>
      <c r="K175" s="53">
        <v>1223.5839000000001</v>
      </c>
      <c r="L175" s="53">
        <v>407.86130000000003</v>
      </c>
      <c r="M175" s="53">
        <v>407.86130000000003</v>
      </c>
      <c r="N175" s="3" t="s">
        <v>69</v>
      </c>
    </row>
    <row r="176" spans="1:14" x14ac:dyDescent="0.25">
      <c r="A176" s="51">
        <v>0.96499999999999997</v>
      </c>
      <c r="B176" s="53">
        <v>4082.8438000000001</v>
      </c>
      <c r="C176" s="53">
        <v>204.1422</v>
      </c>
      <c r="D176" s="53">
        <v>102.0711</v>
      </c>
      <c r="E176" s="53">
        <v>102.0711</v>
      </c>
      <c r="F176" s="53">
        <v>408.28440000000001</v>
      </c>
      <c r="G176" s="53">
        <v>204.1422</v>
      </c>
      <c r="H176" s="53">
        <v>204.1422</v>
      </c>
      <c r="I176" s="53">
        <v>408.28440000000001</v>
      </c>
      <c r="J176" s="53">
        <v>408.28440000000001</v>
      </c>
      <c r="K176" s="53">
        <v>1224.8531</v>
      </c>
      <c r="L176" s="53">
        <v>408.28440000000001</v>
      </c>
      <c r="M176" s="53">
        <v>408.28440000000001</v>
      </c>
      <c r="N176" s="3" t="s">
        <v>69</v>
      </c>
    </row>
    <row r="177" spans="1:14" x14ac:dyDescent="0.25">
      <c r="A177" s="51">
        <v>0.96599999999999997</v>
      </c>
      <c r="B177" s="53">
        <v>4087.0747000000001</v>
      </c>
      <c r="C177" s="53">
        <v>204.3537</v>
      </c>
      <c r="D177" s="53">
        <v>102.1769</v>
      </c>
      <c r="E177" s="53">
        <v>102.1769</v>
      </c>
      <c r="F177" s="53">
        <v>408.70749999999998</v>
      </c>
      <c r="G177" s="53">
        <v>204.3537</v>
      </c>
      <c r="H177" s="53">
        <v>204.3537</v>
      </c>
      <c r="I177" s="53">
        <v>408.70749999999998</v>
      </c>
      <c r="J177" s="53">
        <v>408.70749999999998</v>
      </c>
      <c r="K177" s="53">
        <v>1226.1224</v>
      </c>
      <c r="L177" s="53">
        <v>408.70749999999998</v>
      </c>
      <c r="M177" s="53">
        <v>408.70749999999998</v>
      </c>
      <c r="N177" s="3" t="s">
        <v>69</v>
      </c>
    </row>
    <row r="178" spans="1:14" x14ac:dyDescent="0.25">
      <c r="A178" s="51">
        <v>0.96699999999999997</v>
      </c>
      <c r="B178" s="53">
        <v>4091.3056999999999</v>
      </c>
      <c r="C178" s="53">
        <v>204.56530000000001</v>
      </c>
      <c r="D178" s="53">
        <v>102.2826</v>
      </c>
      <c r="E178" s="53">
        <v>102.2826</v>
      </c>
      <c r="F178" s="53">
        <v>409.13060000000002</v>
      </c>
      <c r="G178" s="53">
        <v>204.56530000000001</v>
      </c>
      <c r="H178" s="53">
        <v>204.56530000000001</v>
      </c>
      <c r="I178" s="53">
        <v>409.13060000000002</v>
      </c>
      <c r="J178" s="53">
        <v>409.13060000000002</v>
      </c>
      <c r="K178" s="53">
        <v>1227.3916999999999</v>
      </c>
      <c r="L178" s="53">
        <v>409.13060000000002</v>
      </c>
      <c r="M178" s="53">
        <v>409.13060000000002</v>
      </c>
      <c r="N178" s="3" t="s">
        <v>69</v>
      </c>
    </row>
    <row r="179" spans="1:14" x14ac:dyDescent="0.25">
      <c r="A179" s="51">
        <v>0.96799999999999997</v>
      </c>
      <c r="B179" s="53">
        <v>4095.5365999999999</v>
      </c>
      <c r="C179" s="53">
        <v>204.77680000000001</v>
      </c>
      <c r="D179" s="53">
        <v>102.3884</v>
      </c>
      <c r="E179" s="53">
        <v>102.3884</v>
      </c>
      <c r="F179" s="53">
        <v>409.55369999999999</v>
      </c>
      <c r="G179" s="53">
        <v>204.77680000000001</v>
      </c>
      <c r="H179" s="53">
        <v>204.77680000000001</v>
      </c>
      <c r="I179" s="53">
        <v>409.55369999999999</v>
      </c>
      <c r="J179" s="53">
        <v>409.55369999999999</v>
      </c>
      <c r="K179" s="53">
        <v>1228.6610000000001</v>
      </c>
      <c r="L179" s="53">
        <v>409.55369999999999</v>
      </c>
      <c r="M179" s="53">
        <v>409.55369999999999</v>
      </c>
      <c r="N179" s="3" t="s">
        <v>69</v>
      </c>
    </row>
    <row r="180" spans="1:14" x14ac:dyDescent="0.25">
      <c r="A180" s="51">
        <v>0.96899999999999997</v>
      </c>
      <c r="B180" s="53">
        <v>4099.7674999999999</v>
      </c>
      <c r="C180" s="53">
        <v>204.98840000000001</v>
      </c>
      <c r="D180" s="53">
        <v>102.49420000000001</v>
      </c>
      <c r="E180" s="53">
        <v>102.49420000000001</v>
      </c>
      <c r="F180" s="53">
        <v>409.97680000000003</v>
      </c>
      <c r="G180" s="53">
        <v>204.98840000000001</v>
      </c>
      <c r="H180" s="53">
        <v>204.98840000000001</v>
      </c>
      <c r="I180" s="53">
        <v>409.97680000000003</v>
      </c>
      <c r="J180" s="53">
        <v>409.97680000000003</v>
      </c>
      <c r="K180" s="53">
        <v>1229.9303</v>
      </c>
      <c r="L180" s="53">
        <v>409.97680000000003</v>
      </c>
      <c r="M180" s="53">
        <v>409.97680000000003</v>
      </c>
      <c r="N180" s="3" t="s">
        <v>69</v>
      </c>
    </row>
    <row r="181" spans="1:14" x14ac:dyDescent="0.25">
      <c r="A181" s="51">
        <v>0.97</v>
      </c>
      <c r="B181" s="53">
        <v>4103.9984999999997</v>
      </c>
      <c r="C181" s="53">
        <v>205.19990000000001</v>
      </c>
      <c r="D181" s="53">
        <v>102.6</v>
      </c>
      <c r="E181" s="53">
        <v>102.6</v>
      </c>
      <c r="F181" s="53">
        <v>410.39980000000003</v>
      </c>
      <c r="G181" s="53">
        <v>205.19990000000001</v>
      </c>
      <c r="H181" s="53">
        <v>205.19990000000001</v>
      </c>
      <c r="I181" s="53">
        <v>410.39980000000003</v>
      </c>
      <c r="J181" s="53">
        <v>410.39980000000003</v>
      </c>
      <c r="K181" s="53">
        <v>1231.1994999999999</v>
      </c>
      <c r="L181" s="53">
        <v>410.39980000000003</v>
      </c>
      <c r="M181" s="53">
        <v>410.39980000000003</v>
      </c>
      <c r="N181" s="3" t="s">
        <v>69</v>
      </c>
    </row>
    <row r="182" spans="1:14" x14ac:dyDescent="0.25">
      <c r="A182" s="51">
        <v>0.97099999999999997</v>
      </c>
      <c r="B182" s="53">
        <v>4108.2294000000002</v>
      </c>
      <c r="C182" s="53">
        <v>205.41149999999999</v>
      </c>
      <c r="D182" s="53">
        <v>102.70569999999999</v>
      </c>
      <c r="E182" s="53">
        <v>102.70569999999999</v>
      </c>
      <c r="F182" s="53">
        <v>410.8229</v>
      </c>
      <c r="G182" s="53">
        <v>205.41149999999999</v>
      </c>
      <c r="H182" s="53">
        <v>205.41149999999999</v>
      </c>
      <c r="I182" s="53">
        <v>410.8229</v>
      </c>
      <c r="J182" s="53">
        <v>410.8229</v>
      </c>
      <c r="K182" s="53">
        <v>1232.4688000000001</v>
      </c>
      <c r="L182" s="53">
        <v>410.8229</v>
      </c>
      <c r="M182" s="53">
        <v>410.8229</v>
      </c>
      <c r="N182" s="3" t="s">
        <v>69</v>
      </c>
    </row>
    <row r="183" spans="1:14" x14ac:dyDescent="0.25">
      <c r="A183" s="51">
        <v>0.97199999999999998</v>
      </c>
      <c r="B183" s="53">
        <v>4112.4602999999997</v>
      </c>
      <c r="C183" s="53">
        <v>205.62299999999999</v>
      </c>
      <c r="D183" s="53">
        <v>102.8115</v>
      </c>
      <c r="E183" s="53">
        <v>102.8115</v>
      </c>
      <c r="F183" s="53">
        <v>411.24599999999998</v>
      </c>
      <c r="G183" s="53">
        <v>205.62299999999999</v>
      </c>
      <c r="H183" s="53">
        <v>205.62299999999999</v>
      </c>
      <c r="I183" s="53">
        <v>411.24599999999998</v>
      </c>
      <c r="J183" s="53">
        <v>411.24599999999998</v>
      </c>
      <c r="K183" s="53">
        <v>1233.7381</v>
      </c>
      <c r="L183" s="53">
        <v>411.24599999999998</v>
      </c>
      <c r="M183" s="53">
        <v>411.24599999999998</v>
      </c>
      <c r="N183" s="3" t="s">
        <v>69</v>
      </c>
    </row>
    <row r="184" spans="1:14" x14ac:dyDescent="0.25">
      <c r="A184" s="51">
        <v>0.97299999999999998</v>
      </c>
      <c r="B184" s="53">
        <v>4116.6912000000002</v>
      </c>
      <c r="C184" s="53">
        <v>205.83459999999999</v>
      </c>
      <c r="D184" s="53">
        <v>102.9173</v>
      </c>
      <c r="E184" s="53">
        <v>102.9173</v>
      </c>
      <c r="F184" s="53">
        <v>411.66910000000001</v>
      </c>
      <c r="G184" s="53">
        <v>205.83459999999999</v>
      </c>
      <c r="H184" s="53">
        <v>205.83459999999999</v>
      </c>
      <c r="I184" s="53">
        <v>411.66910000000001</v>
      </c>
      <c r="J184" s="53">
        <v>411.66910000000001</v>
      </c>
      <c r="K184" s="53">
        <v>1235.0074</v>
      </c>
      <c r="L184" s="53">
        <v>411.66910000000001</v>
      </c>
      <c r="M184" s="53">
        <v>411.66910000000001</v>
      </c>
      <c r="N184" s="3" t="s">
        <v>69</v>
      </c>
    </row>
    <row r="185" spans="1:14" x14ac:dyDescent="0.25">
      <c r="A185" s="51">
        <v>0.97399999999999998</v>
      </c>
      <c r="B185" s="53">
        <v>4120.9222</v>
      </c>
      <c r="C185" s="53">
        <v>206.0461</v>
      </c>
      <c r="D185" s="53">
        <v>103.0231</v>
      </c>
      <c r="E185" s="53">
        <v>103.0231</v>
      </c>
      <c r="F185" s="53">
        <v>412.09219999999999</v>
      </c>
      <c r="G185" s="53">
        <v>206.0461</v>
      </c>
      <c r="H185" s="53">
        <v>206.0461</v>
      </c>
      <c r="I185" s="53">
        <v>412.09219999999999</v>
      </c>
      <c r="J185" s="53">
        <v>412.09219999999999</v>
      </c>
      <c r="K185" s="53">
        <v>1236.2765999999999</v>
      </c>
      <c r="L185" s="53">
        <v>412.09219999999999</v>
      </c>
      <c r="M185" s="53">
        <v>412.09219999999999</v>
      </c>
      <c r="N185" s="3" t="s">
        <v>69</v>
      </c>
    </row>
    <row r="186" spans="1:14" x14ac:dyDescent="0.25">
      <c r="A186" s="51">
        <v>0.97499999999999998</v>
      </c>
      <c r="B186" s="53">
        <v>4125.1531000000004</v>
      </c>
      <c r="C186" s="53">
        <v>206.2577</v>
      </c>
      <c r="D186" s="53">
        <v>103.1288</v>
      </c>
      <c r="E186" s="53">
        <v>103.1288</v>
      </c>
      <c r="F186" s="53">
        <v>412.51530000000002</v>
      </c>
      <c r="G186" s="53">
        <v>206.2577</v>
      </c>
      <c r="H186" s="53">
        <v>206.2577</v>
      </c>
      <c r="I186" s="53">
        <v>412.51530000000002</v>
      </c>
      <c r="J186" s="53">
        <v>412.51530000000002</v>
      </c>
      <c r="K186" s="53">
        <v>1237.5459000000001</v>
      </c>
      <c r="L186" s="53">
        <v>412.51530000000002</v>
      </c>
      <c r="M186" s="53">
        <v>412.51530000000002</v>
      </c>
      <c r="N186" s="3" t="s">
        <v>69</v>
      </c>
    </row>
    <row r="187" spans="1:14" x14ac:dyDescent="0.25">
      <c r="A187" s="51">
        <v>0.97599999999999998</v>
      </c>
      <c r="B187" s="53">
        <v>4129.384</v>
      </c>
      <c r="C187" s="53">
        <v>206.4692</v>
      </c>
      <c r="D187" s="53">
        <v>103.2346</v>
      </c>
      <c r="E187" s="53">
        <v>103.2346</v>
      </c>
      <c r="F187" s="53">
        <v>412.9384</v>
      </c>
      <c r="G187" s="53">
        <v>206.4692</v>
      </c>
      <c r="H187" s="53">
        <v>206.4692</v>
      </c>
      <c r="I187" s="53">
        <v>412.9384</v>
      </c>
      <c r="J187" s="53">
        <v>412.9384</v>
      </c>
      <c r="K187" s="53">
        <v>1238.8152</v>
      </c>
      <c r="L187" s="53">
        <v>412.9384</v>
      </c>
      <c r="M187" s="53">
        <v>412.9384</v>
      </c>
      <c r="N187" s="3" t="s">
        <v>69</v>
      </c>
    </row>
    <row r="188" spans="1:14" x14ac:dyDescent="0.25">
      <c r="A188" s="51">
        <v>0.97699999999999998</v>
      </c>
      <c r="B188" s="53">
        <v>4133.6148999999996</v>
      </c>
      <c r="C188" s="53">
        <v>206.6807</v>
      </c>
      <c r="D188" s="53">
        <v>103.3404</v>
      </c>
      <c r="E188" s="53">
        <v>103.3404</v>
      </c>
      <c r="F188" s="53">
        <v>413.36149999999998</v>
      </c>
      <c r="G188" s="53">
        <v>206.6807</v>
      </c>
      <c r="H188" s="53">
        <v>206.6807</v>
      </c>
      <c r="I188" s="53">
        <v>413.36149999999998</v>
      </c>
      <c r="J188" s="53">
        <v>413.36149999999998</v>
      </c>
      <c r="K188" s="53">
        <v>1240.0844999999999</v>
      </c>
      <c r="L188" s="53">
        <v>413.36149999999998</v>
      </c>
      <c r="M188" s="53">
        <v>413.36149999999998</v>
      </c>
      <c r="N188" s="3" t="s">
        <v>69</v>
      </c>
    </row>
    <row r="189" spans="1:14" x14ac:dyDescent="0.25">
      <c r="A189" s="51">
        <v>0.97799999999999998</v>
      </c>
      <c r="B189" s="53">
        <v>4137.8459000000003</v>
      </c>
      <c r="C189" s="53">
        <v>206.89230000000001</v>
      </c>
      <c r="D189" s="53">
        <v>103.4461</v>
      </c>
      <c r="E189" s="53">
        <v>103.4461</v>
      </c>
      <c r="F189" s="53">
        <v>413.78460000000001</v>
      </c>
      <c r="G189" s="53">
        <v>206.89230000000001</v>
      </c>
      <c r="H189" s="53">
        <v>206.89230000000001</v>
      </c>
      <c r="I189" s="53">
        <v>413.78460000000001</v>
      </c>
      <c r="J189" s="53">
        <v>413.78460000000001</v>
      </c>
      <c r="K189" s="53">
        <v>1241.3538000000001</v>
      </c>
      <c r="L189" s="53">
        <v>413.78460000000001</v>
      </c>
      <c r="M189" s="53">
        <v>413.78460000000001</v>
      </c>
      <c r="N189" s="3" t="s">
        <v>69</v>
      </c>
    </row>
    <row r="190" spans="1:14" x14ac:dyDescent="0.25">
      <c r="A190" s="51">
        <v>0.97899999999999998</v>
      </c>
      <c r="B190" s="53">
        <v>4142.0767999999998</v>
      </c>
      <c r="C190" s="53">
        <v>207.10380000000001</v>
      </c>
      <c r="D190" s="53">
        <v>103.5519</v>
      </c>
      <c r="E190" s="53">
        <v>103.5519</v>
      </c>
      <c r="F190" s="53">
        <v>414.20769999999999</v>
      </c>
      <c r="G190" s="53">
        <v>207.10380000000001</v>
      </c>
      <c r="H190" s="53">
        <v>207.10380000000001</v>
      </c>
      <c r="I190" s="53">
        <v>414.20769999999999</v>
      </c>
      <c r="J190" s="53">
        <v>414.20769999999999</v>
      </c>
      <c r="K190" s="53">
        <v>1242.623</v>
      </c>
      <c r="L190" s="53">
        <v>414.20769999999999</v>
      </c>
      <c r="M190" s="53">
        <v>414.20769999999999</v>
      </c>
      <c r="N190" s="3" t="s">
        <v>69</v>
      </c>
    </row>
    <row r="191" spans="1:14" x14ac:dyDescent="0.25">
      <c r="A191" s="51">
        <v>0.98</v>
      </c>
      <c r="B191" s="53">
        <v>4146.3077000000003</v>
      </c>
      <c r="C191" s="53">
        <v>207.31540000000001</v>
      </c>
      <c r="D191" s="53">
        <v>103.65770000000001</v>
      </c>
      <c r="E191" s="53">
        <v>103.65770000000001</v>
      </c>
      <c r="F191" s="53">
        <v>414.63080000000002</v>
      </c>
      <c r="G191" s="53">
        <v>207.31540000000001</v>
      </c>
      <c r="H191" s="53">
        <v>207.31540000000001</v>
      </c>
      <c r="I191" s="53">
        <v>414.63080000000002</v>
      </c>
      <c r="J191" s="53">
        <v>414.63080000000002</v>
      </c>
      <c r="K191" s="53">
        <v>1243.8923</v>
      </c>
      <c r="L191" s="53">
        <v>414.63080000000002</v>
      </c>
      <c r="M191" s="53">
        <v>414.63080000000002</v>
      </c>
      <c r="N191" s="3" t="s">
        <v>69</v>
      </c>
    </row>
    <row r="192" spans="1:14" x14ac:dyDescent="0.25">
      <c r="A192" s="51">
        <v>0.98099999999999998</v>
      </c>
      <c r="B192" s="53">
        <v>4150.5385999999999</v>
      </c>
      <c r="C192" s="53">
        <v>207.52690000000001</v>
      </c>
      <c r="D192" s="53">
        <v>103.76349999999999</v>
      </c>
      <c r="E192" s="53">
        <v>103.76349999999999</v>
      </c>
      <c r="F192" s="53">
        <v>415.0539</v>
      </c>
      <c r="G192" s="53">
        <v>207.52690000000001</v>
      </c>
      <c r="H192" s="53">
        <v>207.52690000000001</v>
      </c>
      <c r="I192" s="53">
        <v>415.0539</v>
      </c>
      <c r="J192" s="53">
        <v>415.0539</v>
      </c>
      <c r="K192" s="53">
        <v>1245.1615999999999</v>
      </c>
      <c r="L192" s="53">
        <v>415.0539</v>
      </c>
      <c r="M192" s="53">
        <v>415.0539</v>
      </c>
      <c r="N192" s="3" t="s">
        <v>69</v>
      </c>
    </row>
    <row r="193" spans="1:14" x14ac:dyDescent="0.25">
      <c r="A193" s="51">
        <v>0.98199999999999998</v>
      </c>
      <c r="B193" s="53">
        <v>4154.7695999999996</v>
      </c>
      <c r="C193" s="53">
        <v>207.73849999999999</v>
      </c>
      <c r="D193" s="53">
        <v>103.86920000000001</v>
      </c>
      <c r="E193" s="53">
        <v>103.86920000000001</v>
      </c>
      <c r="F193" s="53">
        <v>415.47699999999998</v>
      </c>
      <c r="G193" s="53">
        <v>207.73849999999999</v>
      </c>
      <c r="H193" s="53">
        <v>207.73849999999999</v>
      </c>
      <c r="I193" s="53">
        <v>415.47699999999998</v>
      </c>
      <c r="J193" s="53">
        <v>415.47699999999998</v>
      </c>
      <c r="K193" s="53">
        <v>1246.4309000000001</v>
      </c>
      <c r="L193" s="53">
        <v>415.47699999999998</v>
      </c>
      <c r="M193" s="53">
        <v>415.47699999999998</v>
      </c>
      <c r="N193" s="3" t="s">
        <v>69</v>
      </c>
    </row>
    <row r="194" spans="1:14" x14ac:dyDescent="0.25">
      <c r="A194" s="51">
        <v>0.98299999999999998</v>
      </c>
      <c r="B194" s="53">
        <v>4159.0005000000001</v>
      </c>
      <c r="C194" s="53">
        <v>207.95</v>
      </c>
      <c r="D194" s="53">
        <v>103.97499999999999</v>
      </c>
      <c r="E194" s="53">
        <v>103.97499999999999</v>
      </c>
      <c r="F194" s="53">
        <v>415.9</v>
      </c>
      <c r="G194" s="53">
        <v>207.95</v>
      </c>
      <c r="H194" s="53">
        <v>207.95</v>
      </c>
      <c r="I194" s="53">
        <v>415.9</v>
      </c>
      <c r="J194" s="53">
        <v>415.9</v>
      </c>
      <c r="K194" s="53">
        <v>1247.7001</v>
      </c>
      <c r="L194" s="53">
        <v>415.9</v>
      </c>
      <c r="M194" s="53">
        <v>415.9</v>
      </c>
      <c r="N194" s="3" t="s">
        <v>69</v>
      </c>
    </row>
    <row r="195" spans="1:14" x14ac:dyDescent="0.25">
      <c r="A195" s="51">
        <v>0.98399999999999999</v>
      </c>
      <c r="B195" s="53">
        <v>4163.2313999999997</v>
      </c>
      <c r="C195" s="53">
        <v>208.16159999999999</v>
      </c>
      <c r="D195" s="53">
        <v>104.0808</v>
      </c>
      <c r="E195" s="53">
        <v>104.0808</v>
      </c>
      <c r="F195" s="53">
        <v>416.32310000000001</v>
      </c>
      <c r="G195" s="53">
        <v>208.16159999999999</v>
      </c>
      <c r="H195" s="53">
        <v>208.16159999999999</v>
      </c>
      <c r="I195" s="53">
        <v>416.32310000000001</v>
      </c>
      <c r="J195" s="53">
        <v>416.32310000000001</v>
      </c>
      <c r="K195" s="53">
        <v>1248.9694</v>
      </c>
      <c r="L195" s="53">
        <v>416.32310000000001</v>
      </c>
      <c r="M195" s="53">
        <v>416.32310000000001</v>
      </c>
      <c r="N195" s="3" t="s">
        <v>69</v>
      </c>
    </row>
    <row r="196" spans="1:14" x14ac:dyDescent="0.25">
      <c r="A196" s="51">
        <v>0.98499999999999999</v>
      </c>
      <c r="B196" s="53">
        <v>4167.4623000000001</v>
      </c>
      <c r="C196" s="53">
        <v>208.37309999999999</v>
      </c>
      <c r="D196" s="53">
        <v>104.1866</v>
      </c>
      <c r="E196" s="53">
        <v>104.1866</v>
      </c>
      <c r="F196" s="53">
        <v>416.74619999999999</v>
      </c>
      <c r="G196" s="53">
        <v>208.37309999999999</v>
      </c>
      <c r="H196" s="53">
        <v>208.37309999999999</v>
      </c>
      <c r="I196" s="53">
        <v>416.74619999999999</v>
      </c>
      <c r="J196" s="53">
        <v>416.74619999999999</v>
      </c>
      <c r="K196" s="53">
        <v>1250.2387000000001</v>
      </c>
      <c r="L196" s="53">
        <v>416.74619999999999</v>
      </c>
      <c r="M196" s="53">
        <v>416.74619999999999</v>
      </c>
      <c r="N196" s="3" t="s">
        <v>69</v>
      </c>
    </row>
    <row r="197" spans="1:14" x14ac:dyDescent="0.25">
      <c r="A197" s="51">
        <v>0.98599999999999999</v>
      </c>
      <c r="B197" s="53">
        <v>4171.6932999999999</v>
      </c>
      <c r="C197" s="53">
        <v>208.5847</v>
      </c>
      <c r="D197" s="53">
        <v>104.2923</v>
      </c>
      <c r="E197" s="53">
        <v>104.2923</v>
      </c>
      <c r="F197" s="53">
        <v>417.16930000000002</v>
      </c>
      <c r="G197" s="53">
        <v>208.5847</v>
      </c>
      <c r="H197" s="53">
        <v>208.5847</v>
      </c>
      <c r="I197" s="53">
        <v>417.16930000000002</v>
      </c>
      <c r="J197" s="53">
        <v>417.16930000000002</v>
      </c>
      <c r="K197" s="53">
        <v>1251.508</v>
      </c>
      <c r="L197" s="53">
        <v>417.16930000000002</v>
      </c>
      <c r="M197" s="53">
        <v>417.16930000000002</v>
      </c>
      <c r="N197" s="3" t="s">
        <v>69</v>
      </c>
    </row>
    <row r="198" spans="1:14" x14ac:dyDescent="0.25">
      <c r="A198" s="51">
        <v>0.98699999999999999</v>
      </c>
      <c r="B198" s="53">
        <v>4175.9242000000004</v>
      </c>
      <c r="C198" s="53">
        <v>208.7962</v>
      </c>
      <c r="D198" s="53">
        <v>104.3981</v>
      </c>
      <c r="E198" s="53">
        <v>104.3981</v>
      </c>
      <c r="F198" s="53">
        <v>417.5924</v>
      </c>
      <c r="G198" s="53">
        <v>208.7962</v>
      </c>
      <c r="H198" s="53">
        <v>208.7962</v>
      </c>
      <c r="I198" s="53">
        <v>417.5924</v>
      </c>
      <c r="J198" s="53">
        <v>417.5924</v>
      </c>
      <c r="K198" s="53">
        <v>1252.7773</v>
      </c>
      <c r="L198" s="53">
        <v>417.5924</v>
      </c>
      <c r="M198" s="53">
        <v>417.5924</v>
      </c>
      <c r="N198" s="3" t="s">
        <v>69</v>
      </c>
    </row>
    <row r="199" spans="1:14" x14ac:dyDescent="0.25">
      <c r="A199" s="51">
        <v>0.98799999999999999</v>
      </c>
      <c r="B199" s="53">
        <v>4180.1550999999999</v>
      </c>
      <c r="C199" s="53">
        <v>209.0078</v>
      </c>
      <c r="D199" s="53">
        <v>104.5039</v>
      </c>
      <c r="E199" s="53">
        <v>104.5039</v>
      </c>
      <c r="F199" s="53">
        <v>418.01549999999997</v>
      </c>
      <c r="G199" s="53">
        <v>209.0078</v>
      </c>
      <c r="H199" s="53">
        <v>209.0078</v>
      </c>
      <c r="I199" s="53">
        <v>418.01549999999997</v>
      </c>
      <c r="J199" s="53">
        <v>418.01549999999997</v>
      </c>
      <c r="K199" s="53">
        <v>1254.0464999999999</v>
      </c>
      <c r="L199" s="53">
        <v>418.01549999999997</v>
      </c>
      <c r="M199" s="53">
        <v>418.01549999999997</v>
      </c>
      <c r="N199" s="3" t="s">
        <v>69</v>
      </c>
    </row>
    <row r="200" spans="1:14" x14ac:dyDescent="0.25">
      <c r="A200" s="51">
        <v>0.98899999999999999</v>
      </c>
      <c r="B200" s="53">
        <v>4184.3860999999997</v>
      </c>
      <c r="C200" s="53">
        <v>209.2193</v>
      </c>
      <c r="D200" s="53">
        <v>104.6097</v>
      </c>
      <c r="E200" s="53">
        <v>104.6097</v>
      </c>
      <c r="F200" s="53">
        <v>418.43860000000001</v>
      </c>
      <c r="G200" s="53">
        <v>209.2193</v>
      </c>
      <c r="H200" s="53">
        <v>209.2193</v>
      </c>
      <c r="I200" s="53">
        <v>418.43860000000001</v>
      </c>
      <c r="J200" s="53">
        <v>418.43860000000001</v>
      </c>
      <c r="K200" s="53">
        <v>1255.3158000000001</v>
      </c>
      <c r="L200" s="53">
        <v>418.43860000000001</v>
      </c>
      <c r="M200" s="53">
        <v>418.43860000000001</v>
      </c>
      <c r="N200" s="3" t="s">
        <v>69</v>
      </c>
    </row>
    <row r="201" spans="1:14" x14ac:dyDescent="0.25">
      <c r="A201" s="51">
        <v>0.99</v>
      </c>
      <c r="B201" s="53">
        <v>4188.6170000000002</v>
      </c>
      <c r="C201" s="53">
        <v>209.4308</v>
      </c>
      <c r="D201" s="53">
        <v>104.7154</v>
      </c>
      <c r="E201" s="53">
        <v>104.7154</v>
      </c>
      <c r="F201" s="53">
        <v>418.86169999999998</v>
      </c>
      <c r="G201" s="53">
        <v>209.4308</v>
      </c>
      <c r="H201" s="53">
        <v>209.4308</v>
      </c>
      <c r="I201" s="53">
        <v>418.86169999999998</v>
      </c>
      <c r="J201" s="53">
        <v>418.86169999999998</v>
      </c>
      <c r="K201" s="53">
        <v>1256.5851</v>
      </c>
      <c r="L201" s="53">
        <v>418.86169999999998</v>
      </c>
      <c r="M201" s="53">
        <v>418.86169999999998</v>
      </c>
      <c r="N201" s="3" t="s">
        <v>69</v>
      </c>
    </row>
    <row r="202" spans="1:14" x14ac:dyDescent="0.25">
      <c r="A202" s="51">
        <v>0.99099999999999999</v>
      </c>
      <c r="B202" s="53">
        <v>4192.8478999999998</v>
      </c>
      <c r="C202" s="53">
        <v>209.64240000000001</v>
      </c>
      <c r="D202" s="53">
        <v>104.8212</v>
      </c>
      <c r="E202" s="53">
        <v>104.8212</v>
      </c>
      <c r="F202" s="53">
        <v>419.28480000000002</v>
      </c>
      <c r="G202" s="53">
        <v>209.64240000000001</v>
      </c>
      <c r="H202" s="53">
        <v>209.64240000000001</v>
      </c>
      <c r="I202" s="53">
        <v>419.28480000000002</v>
      </c>
      <c r="J202" s="53">
        <v>419.28480000000002</v>
      </c>
      <c r="K202" s="53">
        <v>1257.8543999999999</v>
      </c>
      <c r="L202" s="53">
        <v>419.28480000000002</v>
      </c>
      <c r="M202" s="53">
        <v>419.28480000000002</v>
      </c>
      <c r="N202" s="3" t="s">
        <v>69</v>
      </c>
    </row>
    <row r="203" spans="1:14" x14ac:dyDescent="0.25">
      <c r="A203" s="51">
        <v>0.99199999999999999</v>
      </c>
      <c r="B203" s="53">
        <v>4197.0788000000002</v>
      </c>
      <c r="C203" s="53">
        <v>209.85390000000001</v>
      </c>
      <c r="D203" s="53">
        <v>104.92700000000001</v>
      </c>
      <c r="E203" s="53">
        <v>104.92700000000001</v>
      </c>
      <c r="F203" s="53">
        <v>419.7079</v>
      </c>
      <c r="G203" s="53">
        <v>209.85390000000001</v>
      </c>
      <c r="H203" s="53">
        <v>209.85390000000001</v>
      </c>
      <c r="I203" s="53">
        <v>419.7079</v>
      </c>
      <c r="J203" s="53">
        <v>419.7079</v>
      </c>
      <c r="K203" s="53">
        <v>1259.1235999999999</v>
      </c>
      <c r="L203" s="53">
        <v>419.7079</v>
      </c>
      <c r="M203" s="53">
        <v>419.7079</v>
      </c>
      <c r="N203" s="3" t="s">
        <v>69</v>
      </c>
    </row>
    <row r="204" spans="1:14" x14ac:dyDescent="0.25">
      <c r="A204" s="51">
        <v>0.99299999999999999</v>
      </c>
      <c r="B204" s="53">
        <v>4201.3098</v>
      </c>
      <c r="C204" s="53">
        <v>210.06549999999999</v>
      </c>
      <c r="D204" s="53">
        <v>105.03270000000001</v>
      </c>
      <c r="E204" s="53">
        <v>105.03270000000001</v>
      </c>
      <c r="F204" s="53">
        <v>420.13099999999997</v>
      </c>
      <c r="G204" s="53">
        <v>210.06549999999999</v>
      </c>
      <c r="H204" s="53">
        <v>210.06549999999999</v>
      </c>
      <c r="I204" s="53">
        <v>420.13099999999997</v>
      </c>
      <c r="J204" s="53">
        <v>420.13099999999997</v>
      </c>
      <c r="K204" s="53">
        <v>1260.3929000000001</v>
      </c>
      <c r="L204" s="53">
        <v>420.13099999999997</v>
      </c>
      <c r="M204" s="53">
        <v>420.13099999999997</v>
      </c>
      <c r="N204" s="3" t="s">
        <v>69</v>
      </c>
    </row>
    <row r="205" spans="1:14" x14ac:dyDescent="0.25">
      <c r="A205" s="51">
        <v>0.99399999999999999</v>
      </c>
      <c r="B205" s="53">
        <v>4205.5406999999996</v>
      </c>
      <c r="C205" s="53">
        <v>210.27699999999999</v>
      </c>
      <c r="D205" s="53">
        <v>105.13849999999999</v>
      </c>
      <c r="E205" s="53">
        <v>105.13849999999999</v>
      </c>
      <c r="F205" s="53">
        <v>420.55410000000001</v>
      </c>
      <c r="G205" s="53">
        <v>210.27699999999999</v>
      </c>
      <c r="H205" s="53">
        <v>210.27699999999999</v>
      </c>
      <c r="I205" s="53">
        <v>420.55410000000001</v>
      </c>
      <c r="J205" s="53">
        <v>420.55410000000001</v>
      </c>
      <c r="K205" s="53">
        <v>1261.6622</v>
      </c>
      <c r="L205" s="53">
        <v>420.55410000000001</v>
      </c>
      <c r="M205" s="53">
        <v>420.55410000000001</v>
      </c>
      <c r="N205" s="3" t="s">
        <v>69</v>
      </c>
    </row>
    <row r="206" spans="1:14" x14ac:dyDescent="0.25">
      <c r="A206" s="51">
        <v>0.995</v>
      </c>
      <c r="B206" s="53">
        <v>4209.7716</v>
      </c>
      <c r="C206" s="53">
        <v>210.48859999999999</v>
      </c>
      <c r="D206" s="53">
        <v>105.2443</v>
      </c>
      <c r="E206" s="53">
        <v>105.2443</v>
      </c>
      <c r="F206" s="53">
        <v>420.97719999999998</v>
      </c>
      <c r="G206" s="53">
        <v>210.48859999999999</v>
      </c>
      <c r="H206" s="53">
        <v>210.48859999999999</v>
      </c>
      <c r="I206" s="53">
        <v>420.97719999999998</v>
      </c>
      <c r="J206" s="53">
        <v>420.97719999999998</v>
      </c>
      <c r="K206" s="53">
        <v>1262.9314999999999</v>
      </c>
      <c r="L206" s="53">
        <v>420.97719999999998</v>
      </c>
      <c r="M206" s="53">
        <v>420.97719999999998</v>
      </c>
      <c r="N206" s="3" t="s">
        <v>69</v>
      </c>
    </row>
    <row r="207" spans="1:14" x14ac:dyDescent="0.25">
      <c r="A207" s="51">
        <v>0.996</v>
      </c>
      <c r="B207" s="53">
        <v>4214.0024999999996</v>
      </c>
      <c r="C207" s="53">
        <v>210.70009999999999</v>
      </c>
      <c r="D207" s="53">
        <v>105.3501</v>
      </c>
      <c r="E207" s="53">
        <v>105.3501</v>
      </c>
      <c r="F207" s="53">
        <v>421.40030000000002</v>
      </c>
      <c r="G207" s="53">
        <v>210.70009999999999</v>
      </c>
      <c r="H207" s="53">
        <v>210.70009999999999</v>
      </c>
      <c r="I207" s="53">
        <v>421.40030000000002</v>
      </c>
      <c r="J207" s="53">
        <v>421.40030000000002</v>
      </c>
      <c r="K207" s="53">
        <v>1264.2008000000001</v>
      </c>
      <c r="L207" s="53">
        <v>421.40030000000002</v>
      </c>
      <c r="M207" s="53">
        <v>421.40030000000002</v>
      </c>
      <c r="N207" s="3" t="s">
        <v>69</v>
      </c>
    </row>
    <row r="208" spans="1:14" x14ac:dyDescent="0.25">
      <c r="A208" s="51">
        <v>0.997</v>
      </c>
      <c r="B208" s="53">
        <v>4218.2335000000003</v>
      </c>
      <c r="C208" s="53">
        <v>210.9117</v>
      </c>
      <c r="D208" s="53">
        <v>105.4558</v>
      </c>
      <c r="E208" s="53">
        <v>105.4558</v>
      </c>
      <c r="F208" s="53">
        <v>421.82330000000002</v>
      </c>
      <c r="G208" s="53">
        <v>210.9117</v>
      </c>
      <c r="H208" s="53">
        <v>210.9117</v>
      </c>
      <c r="I208" s="53">
        <v>421.82330000000002</v>
      </c>
      <c r="J208" s="53">
        <v>421.82330000000002</v>
      </c>
      <c r="K208" s="53">
        <v>1265.47</v>
      </c>
      <c r="L208" s="53">
        <v>421.82330000000002</v>
      </c>
      <c r="M208" s="53">
        <v>421.82330000000002</v>
      </c>
      <c r="N208" s="3" t="s">
        <v>69</v>
      </c>
    </row>
    <row r="209" spans="1:14" x14ac:dyDescent="0.25">
      <c r="A209" s="51">
        <v>0.998</v>
      </c>
      <c r="B209" s="53">
        <v>4222.4643999999998</v>
      </c>
      <c r="C209" s="53">
        <v>211.1232</v>
      </c>
      <c r="D209" s="53">
        <v>105.5616</v>
      </c>
      <c r="E209" s="53">
        <v>105.5616</v>
      </c>
      <c r="F209" s="53">
        <v>422.24639999999999</v>
      </c>
      <c r="G209" s="53">
        <v>211.1232</v>
      </c>
      <c r="H209" s="53">
        <v>211.1232</v>
      </c>
      <c r="I209" s="53">
        <v>422.24639999999999</v>
      </c>
      <c r="J209" s="53">
        <v>422.24639999999999</v>
      </c>
      <c r="K209" s="53">
        <v>1266.7393</v>
      </c>
      <c r="L209" s="53">
        <v>422.24639999999999</v>
      </c>
      <c r="M209" s="53">
        <v>422.24639999999999</v>
      </c>
      <c r="N209" s="3" t="s">
        <v>69</v>
      </c>
    </row>
    <row r="210" spans="1:14" x14ac:dyDescent="0.25">
      <c r="A210" s="51">
        <v>0.999</v>
      </c>
      <c r="B210" s="53">
        <v>4226.6953000000003</v>
      </c>
      <c r="C210" s="53">
        <v>211.3348</v>
      </c>
      <c r="D210" s="53">
        <v>105.6674</v>
      </c>
      <c r="E210" s="53">
        <v>105.6674</v>
      </c>
      <c r="F210" s="53">
        <v>422.66950000000003</v>
      </c>
      <c r="G210" s="53">
        <v>211.3348</v>
      </c>
      <c r="H210" s="53">
        <v>211.3348</v>
      </c>
      <c r="I210" s="53">
        <v>422.66950000000003</v>
      </c>
      <c r="J210" s="53">
        <v>422.66950000000003</v>
      </c>
      <c r="K210" s="53">
        <v>1268.0085999999999</v>
      </c>
      <c r="L210" s="53">
        <v>422.66950000000003</v>
      </c>
      <c r="M210" s="53">
        <v>422.66950000000003</v>
      </c>
      <c r="N210" s="3" t="s">
        <v>69</v>
      </c>
    </row>
    <row r="211" spans="1:14" x14ac:dyDescent="0.25">
      <c r="A211" s="51">
        <v>1</v>
      </c>
      <c r="B211" s="53">
        <v>5641.2349999999997</v>
      </c>
      <c r="C211" s="53">
        <v>282.06169999999997</v>
      </c>
      <c r="D211" s="53">
        <v>141.0309</v>
      </c>
      <c r="E211" s="53">
        <v>141.0309</v>
      </c>
      <c r="F211" s="53">
        <v>564.12350000000004</v>
      </c>
      <c r="G211" s="53">
        <v>282.06169999999997</v>
      </c>
      <c r="H211" s="53">
        <v>282.06169999999997</v>
      </c>
      <c r="I211" s="53">
        <v>564.12350000000004</v>
      </c>
      <c r="J211" s="53">
        <v>564.12350000000004</v>
      </c>
      <c r="K211" s="53">
        <v>1692.3705</v>
      </c>
      <c r="L211" s="53">
        <v>564.12350000000004</v>
      </c>
      <c r="M211" s="53">
        <v>564.12350000000004</v>
      </c>
      <c r="N211" s="3" t="s">
        <v>69</v>
      </c>
    </row>
    <row r="212" spans="1:14" x14ac:dyDescent="0.25">
      <c r="A212" s="51">
        <v>1.0009999999999999</v>
      </c>
      <c r="B212" s="53">
        <v>5643.4892</v>
      </c>
      <c r="C212" s="53">
        <v>282.34350000000001</v>
      </c>
      <c r="D212" s="53">
        <v>141.17179999999999</v>
      </c>
      <c r="E212" s="53">
        <v>141.17179999999999</v>
      </c>
      <c r="F212" s="53">
        <v>564.68709999999999</v>
      </c>
      <c r="G212" s="53">
        <v>282.34350000000001</v>
      </c>
      <c r="H212" s="53">
        <v>282.34350000000001</v>
      </c>
      <c r="I212" s="53">
        <v>564.68709999999999</v>
      </c>
      <c r="J212" s="53">
        <v>564.12350000000004</v>
      </c>
      <c r="K212" s="53">
        <v>1692.3705</v>
      </c>
      <c r="L212" s="53">
        <v>564.12350000000004</v>
      </c>
      <c r="M212" s="53">
        <v>564.12350000000004</v>
      </c>
      <c r="N212" s="3" t="s">
        <v>69</v>
      </c>
    </row>
    <row r="213" spans="1:14" x14ac:dyDescent="0.25">
      <c r="A213" s="51">
        <v>1.002</v>
      </c>
      <c r="B213" s="53">
        <v>5645.7457000000004</v>
      </c>
      <c r="C213" s="53">
        <v>282.62560000000002</v>
      </c>
      <c r="D213" s="53">
        <v>141.31280000000001</v>
      </c>
      <c r="E213" s="53">
        <v>141.31280000000001</v>
      </c>
      <c r="F213" s="53">
        <v>565.25120000000004</v>
      </c>
      <c r="G213" s="53">
        <v>282.62560000000002</v>
      </c>
      <c r="H213" s="53">
        <v>282.62560000000002</v>
      </c>
      <c r="I213" s="53">
        <v>565.25120000000004</v>
      </c>
      <c r="J213" s="53">
        <v>564.12350000000004</v>
      </c>
      <c r="K213" s="53">
        <v>1692.3705</v>
      </c>
      <c r="L213" s="53">
        <v>564.12350000000004</v>
      </c>
      <c r="M213" s="53">
        <v>564.12350000000004</v>
      </c>
      <c r="N213" s="3" t="s">
        <v>69</v>
      </c>
    </row>
    <row r="214" spans="1:14" x14ac:dyDescent="0.25">
      <c r="A214" s="51">
        <v>1.0029999999999999</v>
      </c>
      <c r="B214" s="53">
        <v>5648.0021999999999</v>
      </c>
      <c r="C214" s="53">
        <v>282.90769999999998</v>
      </c>
      <c r="D214" s="53">
        <v>141.4538</v>
      </c>
      <c r="E214" s="53">
        <v>141.4538</v>
      </c>
      <c r="F214" s="53">
        <v>565.81529999999998</v>
      </c>
      <c r="G214" s="53">
        <v>282.90769999999998</v>
      </c>
      <c r="H214" s="53">
        <v>282.90769999999998</v>
      </c>
      <c r="I214" s="53">
        <v>565.81529999999998</v>
      </c>
      <c r="J214" s="53">
        <v>564.12350000000004</v>
      </c>
      <c r="K214" s="53">
        <v>1692.3705</v>
      </c>
      <c r="L214" s="53">
        <v>564.12350000000004</v>
      </c>
      <c r="M214" s="53">
        <v>564.12350000000004</v>
      </c>
      <c r="N214" s="3" t="s">
        <v>69</v>
      </c>
    </row>
    <row r="215" spans="1:14" x14ac:dyDescent="0.25">
      <c r="A215" s="51">
        <v>1.004</v>
      </c>
      <c r="B215" s="53">
        <v>5650.2587000000003</v>
      </c>
      <c r="C215" s="53">
        <v>283.18970000000002</v>
      </c>
      <c r="D215" s="53">
        <v>141.5949</v>
      </c>
      <c r="E215" s="53">
        <v>141.5949</v>
      </c>
      <c r="F215" s="53">
        <v>566.37940000000003</v>
      </c>
      <c r="G215" s="53">
        <v>283.18970000000002</v>
      </c>
      <c r="H215" s="53">
        <v>283.18970000000002</v>
      </c>
      <c r="I215" s="53">
        <v>566.37940000000003</v>
      </c>
      <c r="J215" s="53">
        <v>564.12350000000004</v>
      </c>
      <c r="K215" s="53">
        <v>1692.3705</v>
      </c>
      <c r="L215" s="53">
        <v>564.12350000000004</v>
      </c>
      <c r="M215" s="53">
        <v>564.12350000000004</v>
      </c>
      <c r="N215" s="3" t="s">
        <v>69</v>
      </c>
    </row>
    <row r="216" spans="1:14" x14ac:dyDescent="0.25">
      <c r="A216" s="51">
        <v>1.0049999999999999</v>
      </c>
      <c r="B216" s="53">
        <v>5652.5151999999998</v>
      </c>
      <c r="C216" s="53">
        <v>283.47179999999997</v>
      </c>
      <c r="D216" s="53">
        <v>141.73589999999999</v>
      </c>
      <c r="E216" s="53">
        <v>141.73589999999999</v>
      </c>
      <c r="F216" s="53">
        <v>566.94359999999995</v>
      </c>
      <c r="G216" s="53">
        <v>283.47179999999997</v>
      </c>
      <c r="H216" s="53">
        <v>283.47179999999997</v>
      </c>
      <c r="I216" s="53">
        <v>566.94359999999995</v>
      </c>
      <c r="J216" s="53">
        <v>564.12350000000004</v>
      </c>
      <c r="K216" s="53">
        <v>1692.3705</v>
      </c>
      <c r="L216" s="53">
        <v>564.12350000000004</v>
      </c>
      <c r="M216" s="53">
        <v>564.12350000000004</v>
      </c>
      <c r="N216" s="3" t="s">
        <v>69</v>
      </c>
    </row>
    <row r="217" spans="1:14" x14ac:dyDescent="0.25">
      <c r="A217" s="51">
        <v>1.006</v>
      </c>
      <c r="B217" s="53">
        <v>5654.7717000000002</v>
      </c>
      <c r="C217" s="53">
        <v>283.75380000000001</v>
      </c>
      <c r="D217" s="53">
        <v>141.87690000000001</v>
      </c>
      <c r="E217" s="53">
        <v>141.87690000000001</v>
      </c>
      <c r="F217" s="53">
        <v>567.5077</v>
      </c>
      <c r="G217" s="53">
        <v>283.75380000000001</v>
      </c>
      <c r="H217" s="53">
        <v>283.75380000000001</v>
      </c>
      <c r="I217" s="53">
        <v>567.5077</v>
      </c>
      <c r="J217" s="53">
        <v>564.12350000000004</v>
      </c>
      <c r="K217" s="53">
        <v>1692.3705</v>
      </c>
      <c r="L217" s="53">
        <v>564.12350000000004</v>
      </c>
      <c r="M217" s="53">
        <v>564.12350000000004</v>
      </c>
      <c r="N217" s="3" t="s">
        <v>69</v>
      </c>
    </row>
    <row r="218" spans="1:14" x14ac:dyDescent="0.25">
      <c r="A218" s="51">
        <v>1.0069999999999999</v>
      </c>
      <c r="B218" s="53">
        <v>5657.0281999999997</v>
      </c>
      <c r="C218" s="53">
        <v>284.03590000000003</v>
      </c>
      <c r="D218" s="53">
        <v>142.0179</v>
      </c>
      <c r="E218" s="53">
        <v>142.0179</v>
      </c>
      <c r="F218" s="53">
        <v>568.07180000000005</v>
      </c>
      <c r="G218" s="53">
        <v>284.03590000000003</v>
      </c>
      <c r="H218" s="53">
        <v>284.03590000000003</v>
      </c>
      <c r="I218" s="53">
        <v>568.07180000000005</v>
      </c>
      <c r="J218" s="53">
        <v>564.12350000000004</v>
      </c>
      <c r="K218" s="53">
        <v>1692.3705</v>
      </c>
      <c r="L218" s="53">
        <v>564.12350000000004</v>
      </c>
      <c r="M218" s="53">
        <v>564.12350000000004</v>
      </c>
      <c r="N218" s="3" t="s">
        <v>69</v>
      </c>
    </row>
    <row r="219" spans="1:14" x14ac:dyDescent="0.25">
      <c r="A219" s="51">
        <v>1.008</v>
      </c>
      <c r="B219" s="53">
        <v>5659.2847000000002</v>
      </c>
      <c r="C219" s="53">
        <v>284.31799999999998</v>
      </c>
      <c r="D219" s="53">
        <v>142.15899999999999</v>
      </c>
      <c r="E219" s="53">
        <v>142.15899999999999</v>
      </c>
      <c r="F219" s="53">
        <v>568.63589999999999</v>
      </c>
      <c r="G219" s="53">
        <v>284.31799999999998</v>
      </c>
      <c r="H219" s="53">
        <v>284.31799999999998</v>
      </c>
      <c r="I219" s="53">
        <v>568.63589999999999</v>
      </c>
      <c r="J219" s="53">
        <v>564.12350000000004</v>
      </c>
      <c r="K219" s="53">
        <v>1692.3705</v>
      </c>
      <c r="L219" s="53">
        <v>564.12350000000004</v>
      </c>
      <c r="M219" s="53">
        <v>564.12350000000004</v>
      </c>
      <c r="N219" s="3" t="s">
        <v>69</v>
      </c>
    </row>
    <row r="220" spans="1:14" x14ac:dyDescent="0.25">
      <c r="A220" s="51">
        <v>1.0089999999999999</v>
      </c>
      <c r="B220" s="53">
        <v>5661.5411999999997</v>
      </c>
      <c r="C220" s="53">
        <v>284.60000000000002</v>
      </c>
      <c r="D220" s="53">
        <v>142.30000000000001</v>
      </c>
      <c r="E220" s="53">
        <v>142.30000000000001</v>
      </c>
      <c r="F220" s="53">
        <v>569.20000000000005</v>
      </c>
      <c r="G220" s="53">
        <v>284.60000000000002</v>
      </c>
      <c r="H220" s="53">
        <v>284.60000000000002</v>
      </c>
      <c r="I220" s="53">
        <v>569.20000000000005</v>
      </c>
      <c r="J220" s="53">
        <v>564.12350000000004</v>
      </c>
      <c r="K220" s="53">
        <v>1692.3705</v>
      </c>
      <c r="L220" s="53">
        <v>564.12350000000004</v>
      </c>
      <c r="M220" s="53">
        <v>564.12350000000004</v>
      </c>
      <c r="N220" s="3" t="s">
        <v>69</v>
      </c>
    </row>
    <row r="221" spans="1:14" x14ac:dyDescent="0.25">
      <c r="A221" s="51">
        <v>1.01</v>
      </c>
      <c r="B221" s="53">
        <v>5663.7977000000001</v>
      </c>
      <c r="C221" s="53">
        <v>284.88209999999998</v>
      </c>
      <c r="D221" s="53">
        <v>142.441</v>
      </c>
      <c r="E221" s="53">
        <v>142.441</v>
      </c>
      <c r="F221" s="53">
        <v>569.76419999999996</v>
      </c>
      <c r="G221" s="53">
        <v>284.88209999999998</v>
      </c>
      <c r="H221" s="53">
        <v>284.88209999999998</v>
      </c>
      <c r="I221" s="53">
        <v>569.76419999999996</v>
      </c>
      <c r="J221" s="53">
        <v>564.12350000000004</v>
      </c>
      <c r="K221" s="53">
        <v>1692.3705</v>
      </c>
      <c r="L221" s="53">
        <v>564.12350000000004</v>
      </c>
      <c r="M221" s="53">
        <v>564.12350000000004</v>
      </c>
      <c r="N221" s="3" t="s">
        <v>69</v>
      </c>
    </row>
    <row r="222" spans="1:14" x14ac:dyDescent="0.25">
      <c r="A222" s="51">
        <v>1.0109999999999999</v>
      </c>
      <c r="B222" s="53">
        <v>5666.0541000000003</v>
      </c>
      <c r="C222" s="53">
        <v>285.16410000000002</v>
      </c>
      <c r="D222" s="53">
        <v>142.5821</v>
      </c>
      <c r="E222" s="53">
        <v>142.5821</v>
      </c>
      <c r="F222" s="53">
        <v>570.32830000000001</v>
      </c>
      <c r="G222" s="53">
        <v>285.16410000000002</v>
      </c>
      <c r="H222" s="53">
        <v>285.16410000000002</v>
      </c>
      <c r="I222" s="53">
        <v>570.32830000000001</v>
      </c>
      <c r="J222" s="53">
        <v>564.12350000000004</v>
      </c>
      <c r="K222" s="53">
        <v>1692.3705</v>
      </c>
      <c r="L222" s="53">
        <v>564.12350000000004</v>
      </c>
      <c r="M222" s="53">
        <v>564.12350000000004</v>
      </c>
      <c r="N222" s="3" t="s">
        <v>69</v>
      </c>
    </row>
    <row r="223" spans="1:14" x14ac:dyDescent="0.25">
      <c r="A223" s="51">
        <v>1.012</v>
      </c>
      <c r="B223" s="53">
        <v>5668.3105999999998</v>
      </c>
      <c r="C223" s="53">
        <v>285.44619999999998</v>
      </c>
      <c r="D223" s="53">
        <v>142.72309999999999</v>
      </c>
      <c r="E223" s="53">
        <v>142.72309999999999</v>
      </c>
      <c r="F223" s="53">
        <v>570.89239999999995</v>
      </c>
      <c r="G223" s="53">
        <v>285.44619999999998</v>
      </c>
      <c r="H223" s="53">
        <v>285.44619999999998</v>
      </c>
      <c r="I223" s="53">
        <v>570.89239999999995</v>
      </c>
      <c r="J223" s="53">
        <v>564.12350000000004</v>
      </c>
      <c r="K223" s="53">
        <v>1692.3705</v>
      </c>
      <c r="L223" s="53">
        <v>564.12350000000004</v>
      </c>
      <c r="M223" s="53">
        <v>564.12350000000004</v>
      </c>
      <c r="N223" s="3" t="s">
        <v>69</v>
      </c>
    </row>
    <row r="224" spans="1:14" x14ac:dyDescent="0.25">
      <c r="A224" s="51">
        <v>1.0129999999999999</v>
      </c>
      <c r="B224" s="53">
        <v>5670.5671000000002</v>
      </c>
      <c r="C224" s="53">
        <v>285.72829999999999</v>
      </c>
      <c r="D224" s="53">
        <v>142.86410000000001</v>
      </c>
      <c r="E224" s="53">
        <v>142.86410000000001</v>
      </c>
      <c r="F224" s="53">
        <v>571.45650000000001</v>
      </c>
      <c r="G224" s="53">
        <v>285.72829999999999</v>
      </c>
      <c r="H224" s="53">
        <v>285.72829999999999</v>
      </c>
      <c r="I224" s="53">
        <v>571.45650000000001</v>
      </c>
      <c r="J224" s="53">
        <v>564.12350000000004</v>
      </c>
      <c r="K224" s="53">
        <v>1692.3705</v>
      </c>
      <c r="L224" s="53">
        <v>564.12350000000004</v>
      </c>
      <c r="M224" s="53">
        <v>564.12350000000004</v>
      </c>
      <c r="N224" s="3" t="s">
        <v>69</v>
      </c>
    </row>
    <row r="225" spans="1:14" x14ac:dyDescent="0.25">
      <c r="A225" s="51">
        <v>1.014</v>
      </c>
      <c r="B225" s="53">
        <v>5672.8235999999997</v>
      </c>
      <c r="C225" s="53">
        <v>286.01029999999997</v>
      </c>
      <c r="D225" s="53">
        <v>143.0052</v>
      </c>
      <c r="E225" s="53">
        <v>143.0052</v>
      </c>
      <c r="F225" s="53">
        <v>572.02070000000003</v>
      </c>
      <c r="G225" s="53">
        <v>286.01029999999997</v>
      </c>
      <c r="H225" s="53">
        <v>286.01029999999997</v>
      </c>
      <c r="I225" s="53">
        <v>572.02070000000003</v>
      </c>
      <c r="J225" s="53">
        <v>564.12350000000004</v>
      </c>
      <c r="K225" s="53">
        <v>1692.3705</v>
      </c>
      <c r="L225" s="53">
        <v>564.12350000000004</v>
      </c>
      <c r="M225" s="53">
        <v>564.12350000000004</v>
      </c>
      <c r="N225" s="3" t="s">
        <v>69</v>
      </c>
    </row>
    <row r="226" spans="1:14" x14ac:dyDescent="0.25">
      <c r="A226" s="51">
        <v>1.0149999999999999</v>
      </c>
      <c r="B226" s="53">
        <v>5675.0801000000001</v>
      </c>
      <c r="C226" s="53">
        <v>286.29239999999999</v>
      </c>
      <c r="D226" s="53">
        <v>143.14619999999999</v>
      </c>
      <c r="E226" s="53">
        <v>143.14619999999999</v>
      </c>
      <c r="F226" s="53">
        <v>572.58479999999997</v>
      </c>
      <c r="G226" s="53">
        <v>286.29239999999999</v>
      </c>
      <c r="H226" s="53">
        <v>286.29239999999999</v>
      </c>
      <c r="I226" s="53">
        <v>572.58479999999997</v>
      </c>
      <c r="J226" s="53">
        <v>564.12350000000004</v>
      </c>
      <c r="K226" s="53">
        <v>1692.3705</v>
      </c>
      <c r="L226" s="53">
        <v>564.12350000000004</v>
      </c>
      <c r="M226" s="53">
        <v>564.12350000000004</v>
      </c>
      <c r="N226" s="3" t="s">
        <v>69</v>
      </c>
    </row>
    <row r="227" spans="1:14" x14ac:dyDescent="0.25">
      <c r="A227" s="51">
        <v>1.016</v>
      </c>
      <c r="B227" s="53">
        <v>5677.3365999999996</v>
      </c>
      <c r="C227" s="53">
        <v>286.5745</v>
      </c>
      <c r="D227" s="53">
        <v>143.28720000000001</v>
      </c>
      <c r="E227" s="53">
        <v>143.28720000000001</v>
      </c>
      <c r="F227" s="53">
        <v>573.14890000000003</v>
      </c>
      <c r="G227" s="53">
        <v>286.5745</v>
      </c>
      <c r="H227" s="53">
        <v>286.5745</v>
      </c>
      <c r="I227" s="53">
        <v>573.14890000000003</v>
      </c>
      <c r="J227" s="53">
        <v>564.12350000000004</v>
      </c>
      <c r="K227" s="53">
        <v>1692.3705</v>
      </c>
      <c r="L227" s="53">
        <v>564.12350000000004</v>
      </c>
      <c r="M227" s="53">
        <v>564.12350000000004</v>
      </c>
      <c r="N227" s="3" t="s">
        <v>69</v>
      </c>
    </row>
    <row r="228" spans="1:14" x14ac:dyDescent="0.25">
      <c r="A228" s="51">
        <v>1.0169999999999999</v>
      </c>
      <c r="B228" s="53">
        <v>5679.5931</v>
      </c>
      <c r="C228" s="53">
        <v>286.85649999999998</v>
      </c>
      <c r="D228" s="53">
        <v>143.42830000000001</v>
      </c>
      <c r="E228" s="53">
        <v>143.42830000000001</v>
      </c>
      <c r="F228" s="53">
        <v>573.71299999999997</v>
      </c>
      <c r="G228" s="53">
        <v>286.85649999999998</v>
      </c>
      <c r="H228" s="53">
        <v>286.85649999999998</v>
      </c>
      <c r="I228" s="53">
        <v>573.71299999999997</v>
      </c>
      <c r="J228" s="53">
        <v>564.12350000000004</v>
      </c>
      <c r="K228" s="53">
        <v>1692.3705</v>
      </c>
      <c r="L228" s="53">
        <v>564.12350000000004</v>
      </c>
      <c r="M228" s="53">
        <v>564.12350000000004</v>
      </c>
      <c r="N228" s="3" t="s">
        <v>69</v>
      </c>
    </row>
    <row r="229" spans="1:14" x14ac:dyDescent="0.25">
      <c r="A229" s="51">
        <v>1.018</v>
      </c>
      <c r="B229" s="53">
        <v>5681.8495999999996</v>
      </c>
      <c r="C229" s="53">
        <v>287.1386</v>
      </c>
      <c r="D229" s="53">
        <v>143.5693</v>
      </c>
      <c r="E229" s="53">
        <v>143.5693</v>
      </c>
      <c r="F229" s="53">
        <v>574.27710000000002</v>
      </c>
      <c r="G229" s="53">
        <v>287.1386</v>
      </c>
      <c r="H229" s="53">
        <v>287.1386</v>
      </c>
      <c r="I229" s="53">
        <v>574.27710000000002</v>
      </c>
      <c r="J229" s="53">
        <v>564.12350000000004</v>
      </c>
      <c r="K229" s="53">
        <v>1692.3705</v>
      </c>
      <c r="L229" s="53">
        <v>564.12350000000004</v>
      </c>
      <c r="M229" s="53">
        <v>564.12350000000004</v>
      </c>
      <c r="N229" s="3" t="s">
        <v>69</v>
      </c>
    </row>
    <row r="230" spans="1:14" x14ac:dyDescent="0.25">
      <c r="A230" s="51">
        <v>1.0189999999999999</v>
      </c>
      <c r="B230" s="53">
        <v>5684.1061</v>
      </c>
      <c r="C230" s="53">
        <v>287.42059999999998</v>
      </c>
      <c r="D230" s="53">
        <v>143.71029999999999</v>
      </c>
      <c r="E230" s="53">
        <v>143.71029999999999</v>
      </c>
      <c r="F230" s="53">
        <v>574.84130000000005</v>
      </c>
      <c r="G230" s="53">
        <v>287.42059999999998</v>
      </c>
      <c r="H230" s="53">
        <v>287.42059999999998</v>
      </c>
      <c r="I230" s="53">
        <v>574.84130000000005</v>
      </c>
      <c r="J230" s="53">
        <v>564.12350000000004</v>
      </c>
      <c r="K230" s="53">
        <v>1692.3705</v>
      </c>
      <c r="L230" s="53">
        <v>564.12350000000004</v>
      </c>
      <c r="M230" s="53">
        <v>564.12350000000004</v>
      </c>
      <c r="N230" s="3" t="s">
        <v>69</v>
      </c>
    </row>
    <row r="231" spans="1:14" x14ac:dyDescent="0.25">
      <c r="A231" s="51">
        <v>1.02</v>
      </c>
      <c r="B231" s="53">
        <v>5686.3626000000004</v>
      </c>
      <c r="C231" s="53">
        <v>287.70269999999999</v>
      </c>
      <c r="D231" s="53">
        <v>143.85130000000001</v>
      </c>
      <c r="E231" s="53">
        <v>143.85130000000001</v>
      </c>
      <c r="F231" s="53">
        <v>575.40539999999999</v>
      </c>
      <c r="G231" s="53">
        <v>287.70269999999999</v>
      </c>
      <c r="H231" s="53">
        <v>287.70269999999999</v>
      </c>
      <c r="I231" s="53">
        <v>575.40539999999999</v>
      </c>
      <c r="J231" s="53">
        <v>564.12350000000004</v>
      </c>
      <c r="K231" s="53">
        <v>1692.3705</v>
      </c>
      <c r="L231" s="53">
        <v>564.12350000000004</v>
      </c>
      <c r="M231" s="53">
        <v>564.12350000000004</v>
      </c>
      <c r="N231" s="3" t="s">
        <v>69</v>
      </c>
    </row>
    <row r="232" spans="1:14" x14ac:dyDescent="0.25">
      <c r="A232" s="51">
        <v>1.0209999999999999</v>
      </c>
      <c r="B232" s="53">
        <v>5688.6190999999999</v>
      </c>
      <c r="C232" s="53">
        <v>287.98480000000001</v>
      </c>
      <c r="D232" s="53">
        <v>143.9924</v>
      </c>
      <c r="E232" s="53">
        <v>143.9924</v>
      </c>
      <c r="F232" s="53">
        <v>575.96950000000004</v>
      </c>
      <c r="G232" s="53">
        <v>287.98480000000001</v>
      </c>
      <c r="H232" s="53">
        <v>287.98480000000001</v>
      </c>
      <c r="I232" s="53">
        <v>575.96950000000004</v>
      </c>
      <c r="J232" s="53">
        <v>564.12350000000004</v>
      </c>
      <c r="K232" s="53">
        <v>1692.3705</v>
      </c>
      <c r="L232" s="53">
        <v>564.12350000000004</v>
      </c>
      <c r="M232" s="53">
        <v>564.12350000000004</v>
      </c>
      <c r="N232" s="3" t="s">
        <v>69</v>
      </c>
    </row>
    <row r="233" spans="1:14" x14ac:dyDescent="0.25">
      <c r="A233" s="51">
        <v>1.022</v>
      </c>
      <c r="B233" s="53">
        <v>5690.8756000000003</v>
      </c>
      <c r="C233" s="53">
        <v>288.26679999999999</v>
      </c>
      <c r="D233" s="53">
        <v>144.13339999999999</v>
      </c>
      <c r="E233" s="53">
        <v>144.13339999999999</v>
      </c>
      <c r="F233" s="53">
        <v>576.53359999999998</v>
      </c>
      <c r="G233" s="53">
        <v>288.26679999999999</v>
      </c>
      <c r="H233" s="53">
        <v>288.26679999999999</v>
      </c>
      <c r="I233" s="53">
        <v>576.53359999999998</v>
      </c>
      <c r="J233" s="53">
        <v>564.12350000000004</v>
      </c>
      <c r="K233" s="53">
        <v>1692.3705</v>
      </c>
      <c r="L233" s="53">
        <v>564.12350000000004</v>
      </c>
      <c r="M233" s="53">
        <v>564.12350000000004</v>
      </c>
      <c r="N233" s="3" t="s">
        <v>69</v>
      </c>
    </row>
    <row r="234" spans="1:14" x14ac:dyDescent="0.25">
      <c r="A234" s="51">
        <v>1.0229999999999999</v>
      </c>
      <c r="B234" s="53">
        <v>5693.1319999999996</v>
      </c>
      <c r="C234" s="53">
        <v>288.5489</v>
      </c>
      <c r="D234" s="53">
        <v>144.27440000000001</v>
      </c>
      <c r="E234" s="53">
        <v>144.27440000000001</v>
      </c>
      <c r="F234" s="53">
        <v>577.09780000000001</v>
      </c>
      <c r="G234" s="53">
        <v>288.5489</v>
      </c>
      <c r="H234" s="53">
        <v>288.5489</v>
      </c>
      <c r="I234" s="53">
        <v>577.09780000000001</v>
      </c>
      <c r="J234" s="53">
        <v>564.12350000000004</v>
      </c>
      <c r="K234" s="53">
        <v>1692.3705</v>
      </c>
      <c r="L234" s="53">
        <v>564.12350000000004</v>
      </c>
      <c r="M234" s="53">
        <v>564.12350000000004</v>
      </c>
      <c r="N234" s="3" t="s">
        <v>69</v>
      </c>
    </row>
    <row r="235" spans="1:14" x14ac:dyDescent="0.25">
      <c r="A235" s="51">
        <v>1.024</v>
      </c>
      <c r="B235" s="53">
        <v>5695.3885</v>
      </c>
      <c r="C235" s="53">
        <v>288.83089999999999</v>
      </c>
      <c r="D235" s="53">
        <v>144.41550000000001</v>
      </c>
      <c r="E235" s="53">
        <v>144.41550000000001</v>
      </c>
      <c r="F235" s="53">
        <v>577.66189999999995</v>
      </c>
      <c r="G235" s="53">
        <v>288.83089999999999</v>
      </c>
      <c r="H235" s="53">
        <v>288.83089999999999</v>
      </c>
      <c r="I235" s="53">
        <v>577.66189999999995</v>
      </c>
      <c r="J235" s="53">
        <v>564.12350000000004</v>
      </c>
      <c r="K235" s="53">
        <v>1692.3705</v>
      </c>
      <c r="L235" s="53">
        <v>564.12350000000004</v>
      </c>
      <c r="M235" s="53">
        <v>564.12350000000004</v>
      </c>
      <c r="N235" s="3" t="s">
        <v>69</v>
      </c>
    </row>
    <row r="236" spans="1:14" x14ac:dyDescent="0.25">
      <c r="A236" s="51">
        <v>1.0249999999999999</v>
      </c>
      <c r="B236" s="53">
        <v>5697.6450000000004</v>
      </c>
      <c r="C236" s="53">
        <v>289.113</v>
      </c>
      <c r="D236" s="53">
        <v>144.5565</v>
      </c>
      <c r="E236" s="53">
        <v>144.5565</v>
      </c>
      <c r="F236" s="53">
        <v>578.226</v>
      </c>
      <c r="G236" s="53">
        <v>289.113</v>
      </c>
      <c r="H236" s="53">
        <v>289.113</v>
      </c>
      <c r="I236" s="53">
        <v>578.226</v>
      </c>
      <c r="J236" s="53">
        <v>564.12350000000004</v>
      </c>
      <c r="K236" s="53">
        <v>1692.3705</v>
      </c>
      <c r="L236" s="53">
        <v>564.12350000000004</v>
      </c>
      <c r="M236" s="53">
        <v>564.12350000000004</v>
      </c>
      <c r="N236" s="3" t="s">
        <v>69</v>
      </c>
    </row>
    <row r="237" spans="1:14" x14ac:dyDescent="0.25">
      <c r="A237" s="51">
        <v>1.026</v>
      </c>
      <c r="B237" s="53">
        <v>5699.9014999999999</v>
      </c>
      <c r="C237" s="53">
        <v>289.39510000000001</v>
      </c>
      <c r="D237" s="53">
        <v>144.69749999999999</v>
      </c>
      <c r="E237" s="53">
        <v>144.69749999999999</v>
      </c>
      <c r="F237" s="53">
        <v>578.79010000000005</v>
      </c>
      <c r="G237" s="53">
        <v>289.39510000000001</v>
      </c>
      <c r="H237" s="53">
        <v>289.39510000000001</v>
      </c>
      <c r="I237" s="53">
        <v>578.79010000000005</v>
      </c>
      <c r="J237" s="53">
        <v>564.12350000000004</v>
      </c>
      <c r="K237" s="53">
        <v>1692.3705</v>
      </c>
      <c r="L237" s="53">
        <v>564.12350000000004</v>
      </c>
      <c r="M237" s="53">
        <v>564.12350000000004</v>
      </c>
      <c r="N237" s="3" t="s">
        <v>69</v>
      </c>
    </row>
    <row r="238" spans="1:14" x14ac:dyDescent="0.25">
      <c r="A238" s="51">
        <v>1.0269999999999999</v>
      </c>
      <c r="B238" s="53">
        <v>5702.1580000000004</v>
      </c>
      <c r="C238" s="53">
        <v>289.6771</v>
      </c>
      <c r="D238" s="53">
        <v>144.83860000000001</v>
      </c>
      <c r="E238" s="53">
        <v>144.83860000000001</v>
      </c>
      <c r="F238" s="53">
        <v>579.35429999999997</v>
      </c>
      <c r="G238" s="53">
        <v>289.6771</v>
      </c>
      <c r="H238" s="53">
        <v>289.6771</v>
      </c>
      <c r="I238" s="53">
        <v>579.35429999999997</v>
      </c>
      <c r="J238" s="53">
        <v>564.12350000000004</v>
      </c>
      <c r="K238" s="53">
        <v>1692.3705</v>
      </c>
      <c r="L238" s="53">
        <v>564.12350000000004</v>
      </c>
      <c r="M238" s="53">
        <v>564.12350000000004</v>
      </c>
      <c r="N238" s="3" t="s">
        <v>69</v>
      </c>
    </row>
    <row r="239" spans="1:14" x14ac:dyDescent="0.25">
      <c r="A239" s="51">
        <v>1.028</v>
      </c>
      <c r="B239" s="53">
        <v>5704.4144999999999</v>
      </c>
      <c r="C239" s="53">
        <v>289.95920000000001</v>
      </c>
      <c r="D239" s="53">
        <v>144.9796</v>
      </c>
      <c r="E239" s="53">
        <v>144.9796</v>
      </c>
      <c r="F239" s="53">
        <v>579.91840000000002</v>
      </c>
      <c r="G239" s="53">
        <v>289.95920000000001</v>
      </c>
      <c r="H239" s="53">
        <v>289.95920000000001</v>
      </c>
      <c r="I239" s="53">
        <v>579.91840000000002</v>
      </c>
      <c r="J239" s="53">
        <v>564.12350000000004</v>
      </c>
      <c r="K239" s="53">
        <v>1692.3705</v>
      </c>
      <c r="L239" s="53">
        <v>564.12350000000004</v>
      </c>
      <c r="M239" s="53">
        <v>564.12350000000004</v>
      </c>
      <c r="N239" s="3" t="s">
        <v>69</v>
      </c>
    </row>
    <row r="240" spans="1:14" x14ac:dyDescent="0.25">
      <c r="A240" s="51">
        <v>1.0289999999999999</v>
      </c>
      <c r="B240" s="53">
        <v>5706.6710000000003</v>
      </c>
      <c r="C240" s="53">
        <v>290.24130000000002</v>
      </c>
      <c r="D240" s="53">
        <v>145.1206</v>
      </c>
      <c r="E240" s="53">
        <v>145.1206</v>
      </c>
      <c r="F240" s="53">
        <v>580.48249999999996</v>
      </c>
      <c r="G240" s="53">
        <v>290.24130000000002</v>
      </c>
      <c r="H240" s="53">
        <v>290.24130000000002</v>
      </c>
      <c r="I240" s="53">
        <v>580.48249999999996</v>
      </c>
      <c r="J240" s="53">
        <v>564.12350000000004</v>
      </c>
      <c r="K240" s="53">
        <v>1692.3705</v>
      </c>
      <c r="L240" s="53">
        <v>564.12350000000004</v>
      </c>
      <c r="M240" s="53">
        <v>564.12350000000004</v>
      </c>
      <c r="N240" s="3" t="s">
        <v>69</v>
      </c>
    </row>
    <row r="241" spans="1:14" x14ac:dyDescent="0.25">
      <c r="A241" s="51">
        <v>1.03</v>
      </c>
      <c r="B241" s="53">
        <v>5708.9274999999998</v>
      </c>
      <c r="C241" s="53">
        <v>290.52330000000001</v>
      </c>
      <c r="D241" s="53">
        <v>145.26169999999999</v>
      </c>
      <c r="E241" s="53">
        <v>145.26169999999999</v>
      </c>
      <c r="F241" s="53">
        <v>581.04660000000001</v>
      </c>
      <c r="G241" s="53">
        <v>290.52330000000001</v>
      </c>
      <c r="H241" s="53">
        <v>290.52330000000001</v>
      </c>
      <c r="I241" s="53">
        <v>581.04660000000001</v>
      </c>
      <c r="J241" s="53">
        <v>564.12350000000004</v>
      </c>
      <c r="K241" s="53">
        <v>1692.3705</v>
      </c>
      <c r="L241" s="53">
        <v>564.12350000000004</v>
      </c>
      <c r="M241" s="53">
        <v>564.12350000000004</v>
      </c>
      <c r="N241" s="3" t="s">
        <v>69</v>
      </c>
    </row>
    <row r="242" spans="1:14" x14ac:dyDescent="0.25">
      <c r="A242" s="51">
        <v>1.0309999999999999</v>
      </c>
      <c r="B242" s="53">
        <v>5711.1840000000002</v>
      </c>
      <c r="C242" s="53">
        <v>290.80540000000002</v>
      </c>
      <c r="D242" s="53">
        <v>145.40270000000001</v>
      </c>
      <c r="E242" s="53">
        <v>145.40270000000001</v>
      </c>
      <c r="F242" s="53">
        <v>581.61069999999995</v>
      </c>
      <c r="G242" s="53">
        <v>290.80540000000002</v>
      </c>
      <c r="H242" s="53">
        <v>290.80540000000002</v>
      </c>
      <c r="I242" s="53">
        <v>581.61069999999995</v>
      </c>
      <c r="J242" s="53">
        <v>564.12350000000004</v>
      </c>
      <c r="K242" s="53">
        <v>1692.3705</v>
      </c>
      <c r="L242" s="53">
        <v>564.12350000000004</v>
      </c>
      <c r="M242" s="53">
        <v>564.12350000000004</v>
      </c>
      <c r="N242" s="3" t="s">
        <v>69</v>
      </c>
    </row>
    <row r="243" spans="1:14" x14ac:dyDescent="0.25">
      <c r="A243" s="51">
        <v>1.032</v>
      </c>
      <c r="B243" s="53">
        <v>5713.4404999999997</v>
      </c>
      <c r="C243" s="53">
        <v>291.0874</v>
      </c>
      <c r="D243" s="53">
        <v>145.5437</v>
      </c>
      <c r="E243" s="53">
        <v>145.5437</v>
      </c>
      <c r="F243" s="53">
        <v>582.17489999999998</v>
      </c>
      <c r="G243" s="53">
        <v>291.0874</v>
      </c>
      <c r="H243" s="53">
        <v>291.0874</v>
      </c>
      <c r="I243" s="53">
        <v>582.17489999999998</v>
      </c>
      <c r="J243" s="53">
        <v>564.12350000000004</v>
      </c>
      <c r="K243" s="53">
        <v>1692.3705</v>
      </c>
      <c r="L243" s="53">
        <v>564.12350000000004</v>
      </c>
      <c r="M243" s="53">
        <v>564.12350000000004</v>
      </c>
      <c r="N243" s="3" t="s">
        <v>69</v>
      </c>
    </row>
    <row r="244" spans="1:14" x14ac:dyDescent="0.25">
      <c r="A244" s="51">
        <v>1.0329999999999999</v>
      </c>
      <c r="B244" s="53">
        <v>5715.6970000000001</v>
      </c>
      <c r="C244" s="53">
        <v>291.36950000000002</v>
      </c>
      <c r="D244" s="53">
        <v>145.68469999999999</v>
      </c>
      <c r="E244" s="53">
        <v>145.68469999999999</v>
      </c>
      <c r="F244" s="53">
        <v>582.73900000000003</v>
      </c>
      <c r="G244" s="53">
        <v>291.36950000000002</v>
      </c>
      <c r="H244" s="53">
        <v>291.36950000000002</v>
      </c>
      <c r="I244" s="53">
        <v>582.73900000000003</v>
      </c>
      <c r="J244" s="53">
        <v>564.12350000000004</v>
      </c>
      <c r="K244" s="53">
        <v>1692.3705</v>
      </c>
      <c r="L244" s="53">
        <v>564.12350000000004</v>
      </c>
      <c r="M244" s="53">
        <v>564.12350000000004</v>
      </c>
      <c r="N244" s="3" t="s">
        <v>69</v>
      </c>
    </row>
    <row r="245" spans="1:14" x14ac:dyDescent="0.25">
      <c r="A245" s="51">
        <v>1.034</v>
      </c>
      <c r="B245" s="53">
        <v>5717.9534999999996</v>
      </c>
      <c r="C245" s="53">
        <v>291.65159999999997</v>
      </c>
      <c r="D245" s="53">
        <v>145.82579999999999</v>
      </c>
      <c r="E245" s="53">
        <v>145.82579999999999</v>
      </c>
      <c r="F245" s="53">
        <v>583.30309999999997</v>
      </c>
      <c r="G245" s="53">
        <v>291.65159999999997</v>
      </c>
      <c r="H245" s="53">
        <v>291.65159999999997</v>
      </c>
      <c r="I245" s="53">
        <v>583.30309999999997</v>
      </c>
      <c r="J245" s="53">
        <v>564.12350000000004</v>
      </c>
      <c r="K245" s="53">
        <v>1692.3705</v>
      </c>
      <c r="L245" s="53">
        <v>564.12350000000004</v>
      </c>
      <c r="M245" s="53">
        <v>564.12350000000004</v>
      </c>
      <c r="N245" s="3" t="s">
        <v>69</v>
      </c>
    </row>
    <row r="246" spans="1:14" x14ac:dyDescent="0.25">
      <c r="A246" s="51">
        <v>1.0349999999999999</v>
      </c>
      <c r="B246" s="53">
        <v>5720.2098999999998</v>
      </c>
      <c r="C246" s="53">
        <v>291.93360000000001</v>
      </c>
      <c r="D246" s="53">
        <v>145.96680000000001</v>
      </c>
      <c r="E246" s="53">
        <v>145.96680000000001</v>
      </c>
      <c r="F246" s="53">
        <v>583.86720000000003</v>
      </c>
      <c r="G246" s="53">
        <v>291.93360000000001</v>
      </c>
      <c r="H246" s="53">
        <v>291.93360000000001</v>
      </c>
      <c r="I246" s="53">
        <v>583.86720000000003</v>
      </c>
      <c r="J246" s="53">
        <v>564.12350000000004</v>
      </c>
      <c r="K246" s="53">
        <v>1692.3705</v>
      </c>
      <c r="L246" s="53">
        <v>564.12350000000004</v>
      </c>
      <c r="M246" s="53">
        <v>564.12350000000004</v>
      </c>
      <c r="N246" s="3" t="s">
        <v>69</v>
      </c>
    </row>
    <row r="247" spans="1:14" x14ac:dyDescent="0.25">
      <c r="A247" s="51">
        <v>1.036</v>
      </c>
      <c r="B247" s="53">
        <v>5722.4664000000002</v>
      </c>
      <c r="C247" s="53">
        <v>292.21570000000003</v>
      </c>
      <c r="D247" s="53">
        <v>146.1078</v>
      </c>
      <c r="E247" s="53">
        <v>146.1078</v>
      </c>
      <c r="F247" s="53">
        <v>584.43140000000005</v>
      </c>
      <c r="G247" s="53">
        <v>292.21570000000003</v>
      </c>
      <c r="H247" s="53">
        <v>292.21570000000003</v>
      </c>
      <c r="I247" s="53">
        <v>584.43140000000005</v>
      </c>
      <c r="J247" s="53">
        <v>564.12350000000004</v>
      </c>
      <c r="K247" s="53">
        <v>1692.3705</v>
      </c>
      <c r="L247" s="53">
        <v>564.12350000000004</v>
      </c>
      <c r="M247" s="53">
        <v>564.12350000000004</v>
      </c>
      <c r="N247" s="3" t="s">
        <v>69</v>
      </c>
    </row>
    <row r="248" spans="1:14" x14ac:dyDescent="0.25">
      <c r="A248" s="51">
        <v>1.0369999999999999</v>
      </c>
      <c r="B248" s="53">
        <v>5724.7228999999998</v>
      </c>
      <c r="C248" s="53">
        <v>292.49770000000001</v>
      </c>
      <c r="D248" s="53">
        <v>146.24889999999999</v>
      </c>
      <c r="E248" s="53">
        <v>146.24889999999999</v>
      </c>
      <c r="F248" s="53">
        <v>584.99549999999999</v>
      </c>
      <c r="G248" s="53">
        <v>292.49770000000001</v>
      </c>
      <c r="H248" s="53">
        <v>292.49770000000001</v>
      </c>
      <c r="I248" s="53">
        <v>584.99549999999999</v>
      </c>
      <c r="J248" s="53">
        <v>564.12350000000004</v>
      </c>
      <c r="K248" s="53">
        <v>1692.3705</v>
      </c>
      <c r="L248" s="53">
        <v>564.12350000000004</v>
      </c>
      <c r="M248" s="53">
        <v>564.12350000000004</v>
      </c>
      <c r="N248" s="3" t="s">
        <v>69</v>
      </c>
    </row>
    <row r="249" spans="1:14" x14ac:dyDescent="0.25">
      <c r="A249" s="51">
        <v>1.038</v>
      </c>
      <c r="B249" s="53">
        <v>5726.9794000000002</v>
      </c>
      <c r="C249" s="53">
        <v>292.77980000000002</v>
      </c>
      <c r="D249" s="53">
        <v>146.38990000000001</v>
      </c>
      <c r="E249" s="53">
        <v>146.38990000000001</v>
      </c>
      <c r="F249" s="53">
        <v>585.55960000000005</v>
      </c>
      <c r="G249" s="53">
        <v>292.77980000000002</v>
      </c>
      <c r="H249" s="53">
        <v>292.77980000000002</v>
      </c>
      <c r="I249" s="53">
        <v>585.55960000000005</v>
      </c>
      <c r="J249" s="53">
        <v>564.12350000000004</v>
      </c>
      <c r="K249" s="53">
        <v>1692.3705</v>
      </c>
      <c r="L249" s="53">
        <v>564.12350000000004</v>
      </c>
      <c r="M249" s="53">
        <v>564.12350000000004</v>
      </c>
      <c r="N249" s="3" t="s">
        <v>69</v>
      </c>
    </row>
    <row r="250" spans="1:14" x14ac:dyDescent="0.25">
      <c r="A250" s="51">
        <v>1.0389999999999999</v>
      </c>
      <c r="B250" s="53">
        <v>5729.2358999999997</v>
      </c>
      <c r="C250" s="53">
        <v>293.06189999999998</v>
      </c>
      <c r="D250" s="53">
        <v>146.5309</v>
      </c>
      <c r="E250" s="53">
        <v>146.5309</v>
      </c>
      <c r="F250" s="53">
        <v>586.12369999999999</v>
      </c>
      <c r="G250" s="53">
        <v>293.06189999999998</v>
      </c>
      <c r="H250" s="53">
        <v>293.06189999999998</v>
      </c>
      <c r="I250" s="53">
        <v>586.12369999999999</v>
      </c>
      <c r="J250" s="53">
        <v>564.12350000000004</v>
      </c>
      <c r="K250" s="53">
        <v>1692.3705</v>
      </c>
      <c r="L250" s="53">
        <v>564.12350000000004</v>
      </c>
      <c r="M250" s="53">
        <v>564.12350000000004</v>
      </c>
      <c r="N250" s="3" t="s">
        <v>69</v>
      </c>
    </row>
    <row r="251" spans="1:14" x14ac:dyDescent="0.25">
      <c r="A251" s="51">
        <v>1.04</v>
      </c>
      <c r="B251" s="53">
        <v>5731.4924000000001</v>
      </c>
      <c r="C251" s="53">
        <v>293.34390000000002</v>
      </c>
      <c r="D251" s="53">
        <v>146.672</v>
      </c>
      <c r="E251" s="53">
        <v>146.672</v>
      </c>
      <c r="F251" s="53">
        <v>586.68790000000001</v>
      </c>
      <c r="G251" s="53">
        <v>293.34390000000002</v>
      </c>
      <c r="H251" s="53">
        <v>293.34390000000002</v>
      </c>
      <c r="I251" s="53">
        <v>586.68790000000001</v>
      </c>
      <c r="J251" s="53">
        <v>564.12350000000004</v>
      </c>
      <c r="K251" s="53">
        <v>1692.3705</v>
      </c>
      <c r="L251" s="53">
        <v>564.12350000000004</v>
      </c>
      <c r="M251" s="53">
        <v>564.12350000000004</v>
      </c>
      <c r="N251" s="3" t="s">
        <v>69</v>
      </c>
    </row>
    <row r="252" spans="1:14" x14ac:dyDescent="0.25">
      <c r="A252" s="51">
        <v>1.0409999999999999</v>
      </c>
      <c r="B252" s="53">
        <v>5733.7488999999996</v>
      </c>
      <c r="C252" s="53">
        <v>293.62599999999998</v>
      </c>
      <c r="D252" s="53">
        <v>146.81299999999999</v>
      </c>
      <c r="E252" s="53">
        <v>146.81299999999999</v>
      </c>
      <c r="F252" s="53">
        <v>587.25199999999995</v>
      </c>
      <c r="G252" s="53">
        <v>293.62599999999998</v>
      </c>
      <c r="H252" s="53">
        <v>293.62599999999998</v>
      </c>
      <c r="I252" s="53">
        <v>587.25199999999995</v>
      </c>
      <c r="J252" s="53">
        <v>564.12350000000004</v>
      </c>
      <c r="K252" s="53">
        <v>1692.3705</v>
      </c>
      <c r="L252" s="53">
        <v>564.12350000000004</v>
      </c>
      <c r="M252" s="53">
        <v>564.12350000000004</v>
      </c>
      <c r="N252" s="3" t="s">
        <v>69</v>
      </c>
    </row>
    <row r="253" spans="1:14" x14ac:dyDescent="0.25">
      <c r="A253" s="51">
        <v>1.042</v>
      </c>
      <c r="B253" s="53">
        <v>5736.0054</v>
      </c>
      <c r="C253" s="53">
        <v>293.90800000000002</v>
      </c>
      <c r="D253" s="53">
        <v>146.95400000000001</v>
      </c>
      <c r="E253" s="53">
        <v>146.95400000000001</v>
      </c>
      <c r="F253" s="53">
        <v>587.81610000000001</v>
      </c>
      <c r="G253" s="53">
        <v>293.90800000000002</v>
      </c>
      <c r="H253" s="53">
        <v>293.90800000000002</v>
      </c>
      <c r="I253" s="53">
        <v>587.81610000000001</v>
      </c>
      <c r="J253" s="53">
        <v>564.12350000000004</v>
      </c>
      <c r="K253" s="53">
        <v>1692.3705</v>
      </c>
      <c r="L253" s="53">
        <v>564.12350000000004</v>
      </c>
      <c r="M253" s="53">
        <v>564.12350000000004</v>
      </c>
      <c r="N253" s="3" t="s">
        <v>69</v>
      </c>
    </row>
    <row r="254" spans="1:14" x14ac:dyDescent="0.25">
      <c r="A254" s="51">
        <v>1.0429999999999999</v>
      </c>
      <c r="B254" s="53">
        <v>5738.2619000000004</v>
      </c>
      <c r="C254" s="53">
        <v>294.19009999999997</v>
      </c>
      <c r="D254" s="53">
        <v>147.0951</v>
      </c>
      <c r="E254" s="53">
        <v>147.0951</v>
      </c>
      <c r="F254" s="53">
        <v>588.38019999999995</v>
      </c>
      <c r="G254" s="53">
        <v>294.19009999999997</v>
      </c>
      <c r="H254" s="53">
        <v>294.19009999999997</v>
      </c>
      <c r="I254" s="53">
        <v>588.38019999999995</v>
      </c>
      <c r="J254" s="53">
        <v>564.12350000000004</v>
      </c>
      <c r="K254" s="53">
        <v>1692.3705</v>
      </c>
      <c r="L254" s="53">
        <v>564.12350000000004</v>
      </c>
      <c r="M254" s="53">
        <v>564.12350000000004</v>
      </c>
      <c r="N254" s="3" t="s">
        <v>69</v>
      </c>
    </row>
    <row r="255" spans="1:14" x14ac:dyDescent="0.25">
      <c r="A255" s="51">
        <v>1.044</v>
      </c>
      <c r="B255" s="53">
        <v>5740.5183999999999</v>
      </c>
      <c r="C255" s="53">
        <v>294.47219999999999</v>
      </c>
      <c r="D255" s="53">
        <v>147.23609999999999</v>
      </c>
      <c r="E255" s="53">
        <v>147.23609999999999</v>
      </c>
      <c r="F255" s="53">
        <v>588.9443</v>
      </c>
      <c r="G255" s="53">
        <v>294.47219999999999</v>
      </c>
      <c r="H255" s="53">
        <v>294.47219999999999</v>
      </c>
      <c r="I255" s="53">
        <v>588.9443</v>
      </c>
      <c r="J255" s="53">
        <v>564.12350000000004</v>
      </c>
      <c r="K255" s="53">
        <v>1692.3705</v>
      </c>
      <c r="L255" s="53">
        <v>564.12350000000004</v>
      </c>
      <c r="M255" s="53">
        <v>564.12350000000004</v>
      </c>
      <c r="N255" s="3" t="s">
        <v>69</v>
      </c>
    </row>
    <row r="256" spans="1:14" x14ac:dyDescent="0.25">
      <c r="A256" s="51">
        <v>1.0449999999999999</v>
      </c>
      <c r="B256" s="53">
        <v>5742.7749000000003</v>
      </c>
      <c r="C256" s="53">
        <v>294.75420000000003</v>
      </c>
      <c r="D256" s="53">
        <v>147.37710000000001</v>
      </c>
      <c r="E256" s="53">
        <v>147.37710000000001</v>
      </c>
      <c r="F256" s="53">
        <v>589.50850000000003</v>
      </c>
      <c r="G256" s="53">
        <v>294.75420000000003</v>
      </c>
      <c r="H256" s="53">
        <v>294.75420000000003</v>
      </c>
      <c r="I256" s="53">
        <v>589.50850000000003</v>
      </c>
      <c r="J256" s="53">
        <v>564.12350000000004</v>
      </c>
      <c r="K256" s="53">
        <v>1692.3705</v>
      </c>
      <c r="L256" s="53">
        <v>564.12350000000004</v>
      </c>
      <c r="M256" s="53">
        <v>564.12350000000004</v>
      </c>
      <c r="N256" s="3" t="s">
        <v>69</v>
      </c>
    </row>
    <row r="257" spans="1:14" x14ac:dyDescent="0.25">
      <c r="A257" s="51">
        <v>1.046</v>
      </c>
      <c r="B257" s="53">
        <v>5745.0313999999998</v>
      </c>
      <c r="C257" s="53">
        <v>295.03629999999998</v>
      </c>
      <c r="D257" s="53">
        <v>147.5181</v>
      </c>
      <c r="E257" s="53">
        <v>147.5181</v>
      </c>
      <c r="F257" s="53">
        <v>590.07259999999997</v>
      </c>
      <c r="G257" s="53">
        <v>295.03629999999998</v>
      </c>
      <c r="H257" s="53">
        <v>295.03629999999998</v>
      </c>
      <c r="I257" s="53">
        <v>590.07259999999997</v>
      </c>
      <c r="J257" s="53">
        <v>564.12350000000004</v>
      </c>
      <c r="K257" s="53">
        <v>1692.3705</v>
      </c>
      <c r="L257" s="53">
        <v>564.12350000000004</v>
      </c>
      <c r="M257" s="53">
        <v>564.12350000000004</v>
      </c>
      <c r="N257" s="3" t="s">
        <v>69</v>
      </c>
    </row>
    <row r="258" spans="1:14" x14ac:dyDescent="0.25">
      <c r="A258" s="51">
        <v>1.0469999999999999</v>
      </c>
      <c r="B258" s="53">
        <v>5747.2878000000001</v>
      </c>
      <c r="C258" s="53">
        <v>295.3184</v>
      </c>
      <c r="D258" s="53">
        <v>147.6592</v>
      </c>
      <c r="E258" s="53">
        <v>147.6592</v>
      </c>
      <c r="F258" s="53">
        <v>590.63670000000002</v>
      </c>
      <c r="G258" s="53">
        <v>295.3184</v>
      </c>
      <c r="H258" s="53">
        <v>295.3184</v>
      </c>
      <c r="I258" s="53">
        <v>590.63670000000002</v>
      </c>
      <c r="J258" s="53">
        <v>564.12350000000004</v>
      </c>
      <c r="K258" s="53">
        <v>1692.3705</v>
      </c>
      <c r="L258" s="53">
        <v>564.12350000000004</v>
      </c>
      <c r="M258" s="53">
        <v>564.12350000000004</v>
      </c>
      <c r="N258" s="3" t="s">
        <v>69</v>
      </c>
    </row>
    <row r="259" spans="1:14" x14ac:dyDescent="0.25">
      <c r="A259" s="51">
        <v>1.048</v>
      </c>
      <c r="B259" s="53">
        <v>5749.5442999999996</v>
      </c>
      <c r="C259" s="53">
        <v>295.60039999999998</v>
      </c>
      <c r="D259" s="53">
        <v>147.80019999999999</v>
      </c>
      <c r="E259" s="53">
        <v>147.80019999999999</v>
      </c>
      <c r="F259" s="53">
        <v>591.20079999999996</v>
      </c>
      <c r="G259" s="53">
        <v>295.60039999999998</v>
      </c>
      <c r="H259" s="53">
        <v>295.60039999999998</v>
      </c>
      <c r="I259" s="53">
        <v>591.20079999999996</v>
      </c>
      <c r="J259" s="53">
        <v>564.12350000000004</v>
      </c>
      <c r="K259" s="53">
        <v>1692.3705</v>
      </c>
      <c r="L259" s="53">
        <v>564.12350000000004</v>
      </c>
      <c r="M259" s="53">
        <v>564.12350000000004</v>
      </c>
      <c r="N259" s="3" t="s">
        <v>69</v>
      </c>
    </row>
    <row r="260" spans="1:14" x14ac:dyDescent="0.25">
      <c r="A260" s="51">
        <v>1.0489999999999999</v>
      </c>
      <c r="B260" s="53">
        <v>5751.8008</v>
      </c>
      <c r="C260" s="53">
        <v>295.88249999999999</v>
      </c>
      <c r="D260" s="53">
        <v>147.94120000000001</v>
      </c>
      <c r="E260" s="53">
        <v>147.94120000000001</v>
      </c>
      <c r="F260" s="53">
        <v>591.76499999999999</v>
      </c>
      <c r="G260" s="53">
        <v>295.88249999999999</v>
      </c>
      <c r="H260" s="53">
        <v>295.88249999999999</v>
      </c>
      <c r="I260" s="53">
        <v>591.76499999999999</v>
      </c>
      <c r="J260" s="53">
        <v>564.12350000000004</v>
      </c>
      <c r="K260" s="53">
        <v>1692.3705</v>
      </c>
      <c r="L260" s="53">
        <v>564.12350000000004</v>
      </c>
      <c r="M260" s="53">
        <v>564.12350000000004</v>
      </c>
      <c r="N260" s="3" t="s">
        <v>69</v>
      </c>
    </row>
    <row r="261" spans="1:14" x14ac:dyDescent="0.25">
      <c r="A261" s="51">
        <v>1.05</v>
      </c>
      <c r="B261" s="53">
        <v>5754.0573000000004</v>
      </c>
      <c r="C261" s="53">
        <v>296.16449999999998</v>
      </c>
      <c r="D261" s="53">
        <v>148.0823</v>
      </c>
      <c r="E261" s="53">
        <v>148.0823</v>
      </c>
      <c r="F261" s="53">
        <v>592.32910000000004</v>
      </c>
      <c r="G261" s="53">
        <v>296.16449999999998</v>
      </c>
      <c r="H261" s="53">
        <v>296.16449999999998</v>
      </c>
      <c r="I261" s="53">
        <v>592.32910000000004</v>
      </c>
      <c r="J261" s="53">
        <v>564.12350000000004</v>
      </c>
      <c r="K261" s="53">
        <v>1692.3705</v>
      </c>
      <c r="L261" s="53">
        <v>564.12350000000004</v>
      </c>
      <c r="M261" s="53">
        <v>564.12350000000004</v>
      </c>
      <c r="N261" s="3" t="s">
        <v>69</v>
      </c>
    </row>
    <row r="262" spans="1:14" x14ac:dyDescent="0.25">
      <c r="A262" s="51">
        <v>1.0509999999999999</v>
      </c>
      <c r="B262" s="53">
        <v>5756.3137999999999</v>
      </c>
      <c r="C262" s="53">
        <v>296.44659999999999</v>
      </c>
      <c r="D262" s="53">
        <v>148.22329999999999</v>
      </c>
      <c r="E262" s="53">
        <v>148.22329999999999</v>
      </c>
      <c r="F262" s="53">
        <v>592.89319999999998</v>
      </c>
      <c r="G262" s="53">
        <v>296.44659999999999</v>
      </c>
      <c r="H262" s="53">
        <v>296.44659999999999</v>
      </c>
      <c r="I262" s="53">
        <v>592.89319999999998</v>
      </c>
      <c r="J262" s="53">
        <v>564.12350000000004</v>
      </c>
      <c r="K262" s="53">
        <v>1692.3705</v>
      </c>
      <c r="L262" s="53">
        <v>564.12350000000004</v>
      </c>
      <c r="M262" s="53">
        <v>564.12350000000004</v>
      </c>
      <c r="N262" s="3" t="s">
        <v>69</v>
      </c>
    </row>
    <row r="263" spans="1:14" x14ac:dyDescent="0.25">
      <c r="A263" s="51">
        <v>1.052</v>
      </c>
      <c r="B263" s="53">
        <v>5758.5703000000003</v>
      </c>
      <c r="C263" s="53">
        <v>296.7287</v>
      </c>
      <c r="D263" s="53">
        <v>148.36429999999999</v>
      </c>
      <c r="E263" s="53">
        <v>148.36429999999999</v>
      </c>
      <c r="F263" s="53">
        <v>593.45730000000003</v>
      </c>
      <c r="G263" s="53">
        <v>296.7287</v>
      </c>
      <c r="H263" s="53">
        <v>296.7287</v>
      </c>
      <c r="I263" s="53">
        <v>593.45730000000003</v>
      </c>
      <c r="J263" s="53">
        <v>564.12350000000004</v>
      </c>
      <c r="K263" s="53">
        <v>1692.3705</v>
      </c>
      <c r="L263" s="53">
        <v>564.12350000000004</v>
      </c>
      <c r="M263" s="53">
        <v>564.12350000000004</v>
      </c>
      <c r="N263" s="3" t="s">
        <v>69</v>
      </c>
    </row>
    <row r="264" spans="1:14" x14ac:dyDescent="0.25">
      <c r="A264" s="51">
        <v>1.0529999999999999</v>
      </c>
      <c r="B264" s="53">
        <v>5760.8267999999998</v>
      </c>
      <c r="C264" s="53">
        <v>297.01069999999999</v>
      </c>
      <c r="D264" s="53">
        <v>148.50540000000001</v>
      </c>
      <c r="E264" s="53">
        <v>148.50540000000001</v>
      </c>
      <c r="F264" s="53">
        <v>594.02149999999995</v>
      </c>
      <c r="G264" s="53">
        <v>297.01069999999999</v>
      </c>
      <c r="H264" s="53">
        <v>297.01069999999999</v>
      </c>
      <c r="I264" s="53">
        <v>594.02149999999995</v>
      </c>
      <c r="J264" s="53">
        <v>564.12350000000004</v>
      </c>
      <c r="K264" s="53">
        <v>1692.3705</v>
      </c>
      <c r="L264" s="53">
        <v>564.12350000000004</v>
      </c>
      <c r="M264" s="53">
        <v>564.12350000000004</v>
      </c>
      <c r="N264" s="3" t="s">
        <v>69</v>
      </c>
    </row>
    <row r="265" spans="1:14" x14ac:dyDescent="0.25">
      <c r="A265" s="51">
        <v>1.054</v>
      </c>
      <c r="B265" s="53">
        <v>5763.0833000000002</v>
      </c>
      <c r="C265" s="53">
        <v>297.2928</v>
      </c>
      <c r="D265" s="53">
        <v>148.6464</v>
      </c>
      <c r="E265" s="53">
        <v>148.6464</v>
      </c>
      <c r="F265" s="53">
        <v>594.5856</v>
      </c>
      <c r="G265" s="53">
        <v>297.2928</v>
      </c>
      <c r="H265" s="53">
        <v>297.2928</v>
      </c>
      <c r="I265" s="53">
        <v>594.5856</v>
      </c>
      <c r="J265" s="53">
        <v>564.12350000000004</v>
      </c>
      <c r="K265" s="53">
        <v>1692.3705</v>
      </c>
      <c r="L265" s="53">
        <v>564.12350000000004</v>
      </c>
      <c r="M265" s="53">
        <v>564.12350000000004</v>
      </c>
      <c r="N265" s="3" t="s">
        <v>69</v>
      </c>
    </row>
    <row r="266" spans="1:14" x14ac:dyDescent="0.25">
      <c r="A266" s="51">
        <v>1.0549999999999999</v>
      </c>
      <c r="B266" s="53">
        <v>5765.3397999999997</v>
      </c>
      <c r="C266" s="53">
        <v>297.57479999999998</v>
      </c>
      <c r="D266" s="53">
        <v>148.78739999999999</v>
      </c>
      <c r="E266" s="53">
        <v>148.78739999999999</v>
      </c>
      <c r="F266" s="53">
        <v>595.14970000000005</v>
      </c>
      <c r="G266" s="53">
        <v>297.57479999999998</v>
      </c>
      <c r="H266" s="53">
        <v>297.57479999999998</v>
      </c>
      <c r="I266" s="53">
        <v>595.14970000000005</v>
      </c>
      <c r="J266" s="53">
        <v>564.12350000000004</v>
      </c>
      <c r="K266" s="53">
        <v>1692.3705</v>
      </c>
      <c r="L266" s="53">
        <v>564.12350000000004</v>
      </c>
      <c r="M266" s="53">
        <v>564.12350000000004</v>
      </c>
      <c r="N266" s="3" t="s">
        <v>69</v>
      </c>
    </row>
    <row r="267" spans="1:14" x14ac:dyDescent="0.25">
      <c r="A267" s="51">
        <v>1.056</v>
      </c>
      <c r="B267" s="53">
        <v>5767.5963000000002</v>
      </c>
      <c r="C267" s="53">
        <v>297.8569</v>
      </c>
      <c r="D267" s="53">
        <v>148.92850000000001</v>
      </c>
      <c r="E267" s="53">
        <v>148.92850000000001</v>
      </c>
      <c r="F267" s="53">
        <v>595.71379999999999</v>
      </c>
      <c r="G267" s="53">
        <v>297.8569</v>
      </c>
      <c r="H267" s="53">
        <v>297.8569</v>
      </c>
      <c r="I267" s="53">
        <v>595.71379999999999</v>
      </c>
      <c r="J267" s="53">
        <v>564.12350000000004</v>
      </c>
      <c r="K267" s="53">
        <v>1692.3705</v>
      </c>
      <c r="L267" s="53">
        <v>564.12350000000004</v>
      </c>
      <c r="M267" s="53">
        <v>564.12350000000004</v>
      </c>
      <c r="N267" s="3" t="s">
        <v>69</v>
      </c>
    </row>
    <row r="268" spans="1:14" x14ac:dyDescent="0.25">
      <c r="A268" s="51">
        <v>1.0569999999999999</v>
      </c>
      <c r="B268" s="53">
        <v>5769.8527999999997</v>
      </c>
      <c r="C268" s="53">
        <v>298.13900000000001</v>
      </c>
      <c r="D268" s="53">
        <v>149.06950000000001</v>
      </c>
      <c r="E268" s="53">
        <v>149.06950000000001</v>
      </c>
      <c r="F268" s="53">
        <v>596.27790000000005</v>
      </c>
      <c r="G268" s="53">
        <v>298.13900000000001</v>
      </c>
      <c r="H268" s="53">
        <v>298.13900000000001</v>
      </c>
      <c r="I268" s="53">
        <v>596.27790000000005</v>
      </c>
      <c r="J268" s="53">
        <v>564.12350000000004</v>
      </c>
      <c r="K268" s="53">
        <v>1692.3705</v>
      </c>
      <c r="L268" s="53">
        <v>564.12350000000004</v>
      </c>
      <c r="M268" s="53">
        <v>564.12350000000004</v>
      </c>
      <c r="N268" s="3" t="s">
        <v>69</v>
      </c>
    </row>
    <row r="269" spans="1:14" x14ac:dyDescent="0.25">
      <c r="A269" s="51">
        <v>1.0580000000000001</v>
      </c>
      <c r="B269" s="53">
        <v>5772.1093000000001</v>
      </c>
      <c r="C269" s="53">
        <v>298.42099999999999</v>
      </c>
      <c r="D269" s="53">
        <v>149.2105</v>
      </c>
      <c r="E269" s="53">
        <v>149.2105</v>
      </c>
      <c r="F269" s="53">
        <v>596.84209999999996</v>
      </c>
      <c r="G269" s="53">
        <v>298.42099999999999</v>
      </c>
      <c r="H269" s="53">
        <v>298.42099999999999</v>
      </c>
      <c r="I269" s="53">
        <v>596.84209999999996</v>
      </c>
      <c r="J269" s="53">
        <v>564.12350000000004</v>
      </c>
      <c r="K269" s="53">
        <v>1692.3705</v>
      </c>
      <c r="L269" s="53">
        <v>564.12350000000004</v>
      </c>
      <c r="M269" s="53">
        <v>564.12350000000004</v>
      </c>
      <c r="N269" s="3" t="s">
        <v>69</v>
      </c>
    </row>
    <row r="270" spans="1:14" x14ac:dyDescent="0.25">
      <c r="A270" s="51">
        <v>1.0589999999999999</v>
      </c>
      <c r="B270" s="53">
        <v>5774.3657000000003</v>
      </c>
      <c r="C270" s="53">
        <v>298.70310000000001</v>
      </c>
      <c r="D270" s="53">
        <v>149.35149999999999</v>
      </c>
      <c r="E270" s="53">
        <v>149.35149999999999</v>
      </c>
      <c r="F270" s="53">
        <v>597.40620000000001</v>
      </c>
      <c r="G270" s="53">
        <v>298.70310000000001</v>
      </c>
      <c r="H270" s="53">
        <v>298.70310000000001</v>
      </c>
      <c r="I270" s="53">
        <v>597.40620000000001</v>
      </c>
      <c r="J270" s="53">
        <v>564.12350000000004</v>
      </c>
      <c r="K270" s="53">
        <v>1692.3705</v>
      </c>
      <c r="L270" s="53">
        <v>564.12350000000004</v>
      </c>
      <c r="M270" s="53">
        <v>564.12350000000004</v>
      </c>
      <c r="N270" s="3" t="s">
        <v>69</v>
      </c>
    </row>
    <row r="271" spans="1:14" x14ac:dyDescent="0.25">
      <c r="A271" s="51">
        <v>1.06</v>
      </c>
      <c r="B271" s="53">
        <v>5776.6221999999998</v>
      </c>
      <c r="C271" s="53">
        <v>298.98520000000002</v>
      </c>
      <c r="D271" s="53">
        <v>149.49260000000001</v>
      </c>
      <c r="E271" s="53">
        <v>149.49260000000001</v>
      </c>
      <c r="F271" s="53">
        <v>597.97029999999995</v>
      </c>
      <c r="G271" s="53">
        <v>298.98520000000002</v>
      </c>
      <c r="H271" s="53">
        <v>298.98520000000002</v>
      </c>
      <c r="I271" s="53">
        <v>597.97029999999995</v>
      </c>
      <c r="J271" s="53">
        <v>564.12350000000004</v>
      </c>
      <c r="K271" s="53">
        <v>1692.3705</v>
      </c>
      <c r="L271" s="53">
        <v>564.12350000000004</v>
      </c>
      <c r="M271" s="53">
        <v>564.12350000000004</v>
      </c>
      <c r="N271" s="3" t="s">
        <v>69</v>
      </c>
    </row>
    <row r="272" spans="1:14" x14ac:dyDescent="0.25">
      <c r="A272" s="51">
        <v>1.0609999999999999</v>
      </c>
      <c r="B272" s="53">
        <v>6532.4566999999997</v>
      </c>
      <c r="C272" s="53">
        <v>393.46449999999999</v>
      </c>
      <c r="D272" s="53">
        <v>196.73220000000001</v>
      </c>
      <c r="E272" s="53">
        <v>196.73220000000001</v>
      </c>
      <c r="F272" s="53">
        <v>786.9289</v>
      </c>
      <c r="G272" s="53">
        <v>393.46449999999999</v>
      </c>
      <c r="H272" s="53">
        <v>393.46449999999999</v>
      </c>
      <c r="I272" s="53">
        <v>786.9289</v>
      </c>
      <c r="J272" s="53">
        <v>564.12350000000004</v>
      </c>
      <c r="K272" s="53">
        <v>1692.3705</v>
      </c>
      <c r="L272" s="53">
        <v>564.12350000000004</v>
      </c>
      <c r="M272" s="53">
        <v>564.12350000000004</v>
      </c>
      <c r="N272" s="3" t="s">
        <v>69</v>
      </c>
    </row>
    <row r="273" spans="1:14" x14ac:dyDescent="0.25">
      <c r="A273" s="51">
        <v>1.0620000000000001</v>
      </c>
      <c r="B273" s="53">
        <v>6535.4234999999999</v>
      </c>
      <c r="C273" s="53">
        <v>393.83530000000002</v>
      </c>
      <c r="D273" s="53">
        <v>196.9177</v>
      </c>
      <c r="E273" s="53">
        <v>196.9177</v>
      </c>
      <c r="F273" s="53">
        <v>787.67060000000004</v>
      </c>
      <c r="G273" s="53">
        <v>393.83530000000002</v>
      </c>
      <c r="H273" s="53">
        <v>393.83530000000002</v>
      </c>
      <c r="I273" s="53">
        <v>787.67060000000004</v>
      </c>
      <c r="J273" s="53">
        <v>564.12350000000004</v>
      </c>
      <c r="K273" s="53">
        <v>1692.3705</v>
      </c>
      <c r="L273" s="53">
        <v>564.12350000000004</v>
      </c>
      <c r="M273" s="53">
        <v>564.12350000000004</v>
      </c>
      <c r="N273" s="3" t="s">
        <v>69</v>
      </c>
    </row>
    <row r="274" spans="1:14" x14ac:dyDescent="0.25">
      <c r="A274" s="51">
        <v>1.0629999999999999</v>
      </c>
      <c r="B274" s="53">
        <v>6538.3901999999998</v>
      </c>
      <c r="C274" s="53">
        <v>394.20620000000002</v>
      </c>
      <c r="D274" s="53">
        <v>197.10310000000001</v>
      </c>
      <c r="E274" s="53">
        <v>197.10310000000001</v>
      </c>
      <c r="F274" s="53">
        <v>788.41229999999996</v>
      </c>
      <c r="G274" s="53">
        <v>394.20620000000002</v>
      </c>
      <c r="H274" s="53">
        <v>394.20620000000002</v>
      </c>
      <c r="I274" s="53">
        <v>788.41229999999996</v>
      </c>
      <c r="J274" s="53">
        <v>564.12350000000004</v>
      </c>
      <c r="K274" s="53">
        <v>1692.3705</v>
      </c>
      <c r="L274" s="53">
        <v>564.12350000000004</v>
      </c>
      <c r="M274" s="53">
        <v>564.12350000000004</v>
      </c>
      <c r="N274" s="3" t="s">
        <v>69</v>
      </c>
    </row>
    <row r="275" spans="1:14" x14ac:dyDescent="0.25">
      <c r="A275" s="51">
        <v>1.0640000000000001</v>
      </c>
      <c r="B275" s="53">
        <v>6541.3568999999998</v>
      </c>
      <c r="C275" s="53">
        <v>394.577</v>
      </c>
      <c r="D275" s="53">
        <v>197.2885</v>
      </c>
      <c r="E275" s="53">
        <v>197.2885</v>
      </c>
      <c r="F275" s="53">
        <v>789.154</v>
      </c>
      <c r="G275" s="53">
        <v>394.577</v>
      </c>
      <c r="H275" s="53">
        <v>394.577</v>
      </c>
      <c r="I275" s="53">
        <v>789.154</v>
      </c>
      <c r="J275" s="53">
        <v>564.12350000000004</v>
      </c>
      <c r="K275" s="53">
        <v>1692.3705</v>
      </c>
      <c r="L275" s="53">
        <v>564.12350000000004</v>
      </c>
      <c r="M275" s="53">
        <v>564.12350000000004</v>
      </c>
      <c r="N275" s="3" t="s">
        <v>69</v>
      </c>
    </row>
    <row r="276" spans="1:14" x14ac:dyDescent="0.25">
      <c r="A276" s="51">
        <v>1.0649999999999999</v>
      </c>
      <c r="B276" s="53">
        <v>6544.3236999999999</v>
      </c>
      <c r="C276" s="53">
        <v>394.94779999999997</v>
      </c>
      <c r="D276" s="53">
        <v>197.47389999999999</v>
      </c>
      <c r="E276" s="53">
        <v>197.47389999999999</v>
      </c>
      <c r="F276" s="53">
        <v>789.89570000000003</v>
      </c>
      <c r="G276" s="53">
        <v>394.94779999999997</v>
      </c>
      <c r="H276" s="53">
        <v>394.94779999999997</v>
      </c>
      <c r="I276" s="53">
        <v>789.89570000000003</v>
      </c>
      <c r="J276" s="53">
        <v>564.12350000000004</v>
      </c>
      <c r="K276" s="53">
        <v>1692.3705</v>
      </c>
      <c r="L276" s="53">
        <v>564.12350000000004</v>
      </c>
      <c r="M276" s="53">
        <v>564.12350000000004</v>
      </c>
      <c r="N276" s="3" t="s">
        <v>69</v>
      </c>
    </row>
    <row r="277" spans="1:14" x14ac:dyDescent="0.25">
      <c r="A277" s="51">
        <v>1.0660000000000001</v>
      </c>
      <c r="B277" s="53">
        <v>6547.2903999999999</v>
      </c>
      <c r="C277" s="53">
        <v>395.31869999999998</v>
      </c>
      <c r="D277" s="53">
        <v>197.6593</v>
      </c>
      <c r="E277" s="53">
        <v>197.6593</v>
      </c>
      <c r="F277" s="53">
        <v>790.63739999999996</v>
      </c>
      <c r="G277" s="53">
        <v>395.31869999999998</v>
      </c>
      <c r="H277" s="53">
        <v>395.31869999999998</v>
      </c>
      <c r="I277" s="53">
        <v>790.63739999999996</v>
      </c>
      <c r="J277" s="53">
        <v>564.12350000000004</v>
      </c>
      <c r="K277" s="53">
        <v>1692.3705</v>
      </c>
      <c r="L277" s="53">
        <v>564.12350000000004</v>
      </c>
      <c r="M277" s="53">
        <v>564.12350000000004</v>
      </c>
      <c r="N277" s="3" t="s">
        <v>69</v>
      </c>
    </row>
    <row r="278" spans="1:14" x14ac:dyDescent="0.25">
      <c r="A278" s="51">
        <v>1.0669999999999999</v>
      </c>
      <c r="B278" s="53">
        <v>6550.2572</v>
      </c>
      <c r="C278" s="53">
        <v>395.68950000000001</v>
      </c>
      <c r="D278" s="53">
        <v>197.84479999999999</v>
      </c>
      <c r="E278" s="53">
        <v>197.84479999999999</v>
      </c>
      <c r="F278" s="53">
        <v>791.37900000000002</v>
      </c>
      <c r="G278" s="53">
        <v>395.68950000000001</v>
      </c>
      <c r="H278" s="53">
        <v>395.68950000000001</v>
      </c>
      <c r="I278" s="53">
        <v>791.37900000000002</v>
      </c>
      <c r="J278" s="53">
        <v>564.12350000000004</v>
      </c>
      <c r="K278" s="53">
        <v>1692.3705</v>
      </c>
      <c r="L278" s="53">
        <v>564.12350000000004</v>
      </c>
      <c r="M278" s="53">
        <v>564.12350000000004</v>
      </c>
      <c r="N278" s="3" t="s">
        <v>69</v>
      </c>
    </row>
    <row r="279" spans="1:14" x14ac:dyDescent="0.25">
      <c r="A279" s="51">
        <v>1.0680000000000001</v>
      </c>
      <c r="B279" s="53">
        <v>6553.2239</v>
      </c>
      <c r="C279" s="53">
        <v>396.06040000000002</v>
      </c>
      <c r="D279" s="53">
        <v>198.03020000000001</v>
      </c>
      <c r="E279" s="53">
        <v>198.03020000000001</v>
      </c>
      <c r="F279" s="53">
        <v>792.12070000000006</v>
      </c>
      <c r="G279" s="53">
        <v>396.06040000000002</v>
      </c>
      <c r="H279" s="53">
        <v>396.06040000000002</v>
      </c>
      <c r="I279" s="53">
        <v>792.12070000000006</v>
      </c>
      <c r="J279" s="53">
        <v>564.12350000000004</v>
      </c>
      <c r="K279" s="53">
        <v>1692.3705</v>
      </c>
      <c r="L279" s="53">
        <v>564.12350000000004</v>
      </c>
      <c r="M279" s="53">
        <v>564.12350000000004</v>
      </c>
      <c r="N279" s="3" t="s">
        <v>69</v>
      </c>
    </row>
    <row r="280" spans="1:14" x14ac:dyDescent="0.25">
      <c r="A280" s="51">
        <v>1.069</v>
      </c>
      <c r="B280" s="53">
        <v>6556.1907000000001</v>
      </c>
      <c r="C280" s="53">
        <v>396.43119999999999</v>
      </c>
      <c r="D280" s="53">
        <v>198.21559999999999</v>
      </c>
      <c r="E280" s="53">
        <v>198.21559999999999</v>
      </c>
      <c r="F280" s="53">
        <v>792.86239999999998</v>
      </c>
      <c r="G280" s="53">
        <v>396.43119999999999</v>
      </c>
      <c r="H280" s="53">
        <v>396.43119999999999</v>
      </c>
      <c r="I280" s="53">
        <v>792.86239999999998</v>
      </c>
      <c r="J280" s="53">
        <v>564.12350000000004</v>
      </c>
      <c r="K280" s="53">
        <v>1692.3705</v>
      </c>
      <c r="L280" s="53">
        <v>564.12350000000004</v>
      </c>
      <c r="M280" s="53">
        <v>564.12350000000004</v>
      </c>
      <c r="N280" s="3" t="s">
        <v>69</v>
      </c>
    </row>
    <row r="281" spans="1:14" x14ac:dyDescent="0.25">
      <c r="A281" s="51">
        <v>1.07</v>
      </c>
      <c r="B281" s="53">
        <v>6559.1574000000001</v>
      </c>
      <c r="C281" s="53">
        <v>396.8021</v>
      </c>
      <c r="D281" s="53">
        <v>198.40100000000001</v>
      </c>
      <c r="E281" s="53">
        <v>198.40100000000001</v>
      </c>
      <c r="F281" s="53">
        <v>793.60410000000002</v>
      </c>
      <c r="G281" s="53">
        <v>396.8021</v>
      </c>
      <c r="H281" s="53">
        <v>396.8021</v>
      </c>
      <c r="I281" s="53">
        <v>793.60410000000002</v>
      </c>
      <c r="J281" s="53">
        <v>564.12350000000004</v>
      </c>
      <c r="K281" s="53">
        <v>1692.3705</v>
      </c>
      <c r="L281" s="53">
        <v>564.12350000000004</v>
      </c>
      <c r="M281" s="53">
        <v>564.12350000000004</v>
      </c>
      <c r="N281" s="3" t="s">
        <v>69</v>
      </c>
    </row>
    <row r="282" spans="1:14" x14ac:dyDescent="0.25">
      <c r="A282" s="51">
        <v>1.071</v>
      </c>
      <c r="B282" s="53">
        <v>6562.1242000000002</v>
      </c>
      <c r="C282" s="53">
        <v>397.17290000000003</v>
      </c>
      <c r="D282" s="53">
        <v>198.5864</v>
      </c>
      <c r="E282" s="53">
        <v>198.5864</v>
      </c>
      <c r="F282" s="53">
        <v>794.34580000000005</v>
      </c>
      <c r="G282" s="53">
        <v>397.17290000000003</v>
      </c>
      <c r="H282" s="53">
        <v>397.17290000000003</v>
      </c>
      <c r="I282" s="53">
        <v>794.34580000000005</v>
      </c>
      <c r="J282" s="53">
        <v>564.12350000000004</v>
      </c>
      <c r="K282" s="53">
        <v>1692.3705</v>
      </c>
      <c r="L282" s="53">
        <v>564.12350000000004</v>
      </c>
      <c r="M282" s="53">
        <v>564.12350000000004</v>
      </c>
      <c r="N282" s="3" t="s">
        <v>69</v>
      </c>
    </row>
    <row r="283" spans="1:14" x14ac:dyDescent="0.25">
      <c r="A283" s="51">
        <v>1.0720000000000001</v>
      </c>
      <c r="B283" s="53">
        <v>6565.0909000000001</v>
      </c>
      <c r="C283" s="53">
        <v>397.5437</v>
      </c>
      <c r="D283" s="53">
        <v>198.77189999999999</v>
      </c>
      <c r="E283" s="53">
        <v>198.77189999999999</v>
      </c>
      <c r="F283" s="53">
        <v>795.08749999999998</v>
      </c>
      <c r="G283" s="53">
        <v>397.5437</v>
      </c>
      <c r="H283" s="53">
        <v>397.5437</v>
      </c>
      <c r="I283" s="53">
        <v>795.08749999999998</v>
      </c>
      <c r="J283" s="53">
        <v>564.12350000000004</v>
      </c>
      <c r="K283" s="53">
        <v>1692.3705</v>
      </c>
      <c r="L283" s="53">
        <v>564.12350000000004</v>
      </c>
      <c r="M283" s="53">
        <v>564.12350000000004</v>
      </c>
      <c r="N283" s="3" t="s">
        <v>69</v>
      </c>
    </row>
    <row r="284" spans="1:14" x14ac:dyDescent="0.25">
      <c r="A284" s="51">
        <v>1.073</v>
      </c>
      <c r="B284" s="53">
        <v>6568.0576000000001</v>
      </c>
      <c r="C284" s="53">
        <v>397.91460000000001</v>
      </c>
      <c r="D284" s="53">
        <v>198.9573</v>
      </c>
      <c r="E284" s="53">
        <v>198.9573</v>
      </c>
      <c r="F284" s="53">
        <v>795.82920000000001</v>
      </c>
      <c r="G284" s="53">
        <v>397.91460000000001</v>
      </c>
      <c r="H284" s="53">
        <v>397.91460000000001</v>
      </c>
      <c r="I284" s="53">
        <v>795.82920000000001</v>
      </c>
      <c r="J284" s="53">
        <v>564.12350000000004</v>
      </c>
      <c r="K284" s="53">
        <v>1692.3705</v>
      </c>
      <c r="L284" s="53">
        <v>564.12350000000004</v>
      </c>
      <c r="M284" s="53">
        <v>564.12350000000004</v>
      </c>
      <c r="N284" s="3" t="s">
        <v>69</v>
      </c>
    </row>
    <row r="285" spans="1:14" x14ac:dyDescent="0.25">
      <c r="A285" s="51">
        <v>1.0740000000000001</v>
      </c>
      <c r="B285" s="53">
        <v>6571.0244000000002</v>
      </c>
      <c r="C285" s="53">
        <v>398.28539999999998</v>
      </c>
      <c r="D285" s="53">
        <v>199.14269999999999</v>
      </c>
      <c r="E285" s="53">
        <v>199.14269999999999</v>
      </c>
      <c r="F285" s="53">
        <v>796.57079999999996</v>
      </c>
      <c r="G285" s="53">
        <v>398.28539999999998</v>
      </c>
      <c r="H285" s="53">
        <v>398.28539999999998</v>
      </c>
      <c r="I285" s="53">
        <v>796.57079999999996</v>
      </c>
      <c r="J285" s="53">
        <v>564.12350000000004</v>
      </c>
      <c r="K285" s="53">
        <v>1692.3705</v>
      </c>
      <c r="L285" s="53">
        <v>564.12350000000004</v>
      </c>
      <c r="M285" s="53">
        <v>564.12350000000004</v>
      </c>
      <c r="N285" s="3" t="s">
        <v>69</v>
      </c>
    </row>
    <row r="286" spans="1:14" x14ac:dyDescent="0.25">
      <c r="A286" s="51">
        <v>1.075</v>
      </c>
      <c r="B286" s="53">
        <v>6573.9911000000002</v>
      </c>
      <c r="C286" s="53">
        <v>398.65629999999999</v>
      </c>
      <c r="D286" s="53">
        <v>199.32810000000001</v>
      </c>
      <c r="E286" s="53">
        <v>199.32810000000001</v>
      </c>
      <c r="F286" s="53">
        <v>797.3125</v>
      </c>
      <c r="G286" s="53">
        <v>398.65629999999999</v>
      </c>
      <c r="H286" s="53">
        <v>398.65629999999999</v>
      </c>
      <c r="I286" s="53">
        <v>797.3125</v>
      </c>
      <c r="J286" s="53">
        <v>564.12350000000004</v>
      </c>
      <c r="K286" s="53">
        <v>1692.3705</v>
      </c>
      <c r="L286" s="53">
        <v>564.12350000000004</v>
      </c>
      <c r="M286" s="53">
        <v>564.12350000000004</v>
      </c>
      <c r="N286" s="3" t="s">
        <v>69</v>
      </c>
    </row>
    <row r="287" spans="1:14" x14ac:dyDescent="0.25">
      <c r="A287" s="51">
        <v>1.0760000000000001</v>
      </c>
      <c r="B287" s="53">
        <v>6576.9579000000003</v>
      </c>
      <c r="C287" s="53">
        <v>399.02710000000002</v>
      </c>
      <c r="D287" s="53">
        <v>199.5136</v>
      </c>
      <c r="E287" s="53">
        <v>199.5136</v>
      </c>
      <c r="F287" s="53">
        <v>798.05420000000004</v>
      </c>
      <c r="G287" s="53">
        <v>399.02710000000002</v>
      </c>
      <c r="H287" s="53">
        <v>399.02710000000002</v>
      </c>
      <c r="I287" s="53">
        <v>798.05420000000004</v>
      </c>
      <c r="J287" s="53">
        <v>564.12350000000004</v>
      </c>
      <c r="K287" s="53">
        <v>1692.3705</v>
      </c>
      <c r="L287" s="53">
        <v>564.12350000000004</v>
      </c>
      <c r="M287" s="53">
        <v>564.12350000000004</v>
      </c>
      <c r="N287" s="3" t="s">
        <v>69</v>
      </c>
    </row>
    <row r="288" spans="1:14" x14ac:dyDescent="0.25">
      <c r="A288" s="51">
        <v>1.077</v>
      </c>
      <c r="B288" s="53">
        <v>6579.9246000000003</v>
      </c>
      <c r="C288" s="53">
        <v>399.39800000000002</v>
      </c>
      <c r="D288" s="53">
        <v>199.69900000000001</v>
      </c>
      <c r="E288" s="53">
        <v>199.69900000000001</v>
      </c>
      <c r="F288" s="53">
        <v>798.79589999999996</v>
      </c>
      <c r="G288" s="53">
        <v>399.39800000000002</v>
      </c>
      <c r="H288" s="53">
        <v>399.39800000000002</v>
      </c>
      <c r="I288" s="53">
        <v>798.79589999999996</v>
      </c>
      <c r="J288" s="53">
        <v>564.12350000000004</v>
      </c>
      <c r="K288" s="53">
        <v>1692.3705</v>
      </c>
      <c r="L288" s="53">
        <v>564.12350000000004</v>
      </c>
      <c r="M288" s="53">
        <v>564.12350000000004</v>
      </c>
      <c r="N288" s="3" t="s">
        <v>69</v>
      </c>
    </row>
    <row r="289" spans="1:14" x14ac:dyDescent="0.25">
      <c r="A289" s="51">
        <v>1.0780000000000001</v>
      </c>
      <c r="B289" s="53">
        <v>6582.8914000000004</v>
      </c>
      <c r="C289" s="53">
        <v>399.7688</v>
      </c>
      <c r="D289" s="53">
        <v>199.8844</v>
      </c>
      <c r="E289" s="53">
        <v>199.8844</v>
      </c>
      <c r="F289" s="53">
        <v>799.5376</v>
      </c>
      <c r="G289" s="53">
        <v>399.7688</v>
      </c>
      <c r="H289" s="53">
        <v>399.7688</v>
      </c>
      <c r="I289" s="53">
        <v>799.5376</v>
      </c>
      <c r="J289" s="53">
        <v>564.12350000000004</v>
      </c>
      <c r="K289" s="53">
        <v>1692.3705</v>
      </c>
      <c r="L289" s="53">
        <v>564.12350000000004</v>
      </c>
      <c r="M289" s="53">
        <v>564.12350000000004</v>
      </c>
      <c r="N289" s="3" t="s">
        <v>69</v>
      </c>
    </row>
    <row r="290" spans="1:14" x14ac:dyDescent="0.25">
      <c r="A290" s="51">
        <v>1.079</v>
      </c>
      <c r="B290" s="53">
        <v>6585.8581000000004</v>
      </c>
      <c r="C290" s="53">
        <v>400.13959999999997</v>
      </c>
      <c r="D290" s="53">
        <v>200.06979999999999</v>
      </c>
      <c r="E290" s="53">
        <v>200.06979999999999</v>
      </c>
      <c r="F290" s="53">
        <v>800.27930000000003</v>
      </c>
      <c r="G290" s="53">
        <v>400.13959999999997</v>
      </c>
      <c r="H290" s="53">
        <v>400.13959999999997</v>
      </c>
      <c r="I290" s="53">
        <v>800.27930000000003</v>
      </c>
      <c r="J290" s="53">
        <v>564.12350000000004</v>
      </c>
      <c r="K290" s="53">
        <v>1692.3705</v>
      </c>
      <c r="L290" s="53">
        <v>564.12350000000004</v>
      </c>
      <c r="M290" s="53">
        <v>564.12350000000004</v>
      </c>
      <c r="N290" s="3" t="s">
        <v>69</v>
      </c>
    </row>
    <row r="291" spans="1:14" x14ac:dyDescent="0.25">
      <c r="A291" s="51">
        <v>1.08</v>
      </c>
      <c r="B291" s="53">
        <v>6588.8248999999996</v>
      </c>
      <c r="C291" s="53">
        <v>400.51049999999998</v>
      </c>
      <c r="D291" s="53">
        <v>200.2552</v>
      </c>
      <c r="E291" s="53">
        <v>200.2552</v>
      </c>
      <c r="F291" s="53">
        <v>801.02099999999996</v>
      </c>
      <c r="G291" s="53">
        <v>400.51049999999998</v>
      </c>
      <c r="H291" s="53">
        <v>400.51049999999998</v>
      </c>
      <c r="I291" s="53">
        <v>801.02099999999996</v>
      </c>
      <c r="J291" s="53">
        <v>564.12350000000004</v>
      </c>
      <c r="K291" s="53">
        <v>1692.3705</v>
      </c>
      <c r="L291" s="53">
        <v>564.12350000000004</v>
      </c>
      <c r="M291" s="53">
        <v>564.12350000000004</v>
      </c>
      <c r="N291" s="3" t="s">
        <v>69</v>
      </c>
    </row>
    <row r="292" spans="1:14" x14ac:dyDescent="0.25">
      <c r="A292" s="51">
        <v>1.081</v>
      </c>
      <c r="B292" s="53">
        <v>6591.7915999999996</v>
      </c>
      <c r="C292" s="53">
        <v>400.88130000000001</v>
      </c>
      <c r="D292" s="53">
        <v>200.44069999999999</v>
      </c>
      <c r="E292" s="53">
        <v>200.44069999999999</v>
      </c>
      <c r="F292" s="53">
        <v>801.7627</v>
      </c>
      <c r="G292" s="53">
        <v>400.88130000000001</v>
      </c>
      <c r="H292" s="53">
        <v>400.88130000000001</v>
      </c>
      <c r="I292" s="53">
        <v>801.7627</v>
      </c>
      <c r="J292" s="53">
        <v>564.12350000000004</v>
      </c>
      <c r="K292" s="53">
        <v>1692.3705</v>
      </c>
      <c r="L292" s="53">
        <v>564.12350000000004</v>
      </c>
      <c r="M292" s="53">
        <v>564.12350000000004</v>
      </c>
      <c r="N292" s="3" t="s">
        <v>69</v>
      </c>
    </row>
    <row r="293" spans="1:14" x14ac:dyDescent="0.25">
      <c r="A293" s="51">
        <v>1.0820000000000001</v>
      </c>
      <c r="B293" s="53">
        <v>6594.7583000000004</v>
      </c>
      <c r="C293" s="53">
        <v>401.25220000000002</v>
      </c>
      <c r="D293" s="53">
        <v>200.62610000000001</v>
      </c>
      <c r="E293" s="53">
        <v>200.62610000000001</v>
      </c>
      <c r="F293" s="53">
        <v>802.50429999999994</v>
      </c>
      <c r="G293" s="53">
        <v>401.25220000000002</v>
      </c>
      <c r="H293" s="53">
        <v>401.25220000000002</v>
      </c>
      <c r="I293" s="53">
        <v>802.50429999999994</v>
      </c>
      <c r="J293" s="53">
        <v>564.12350000000004</v>
      </c>
      <c r="K293" s="53">
        <v>1692.3705</v>
      </c>
      <c r="L293" s="53">
        <v>564.12350000000004</v>
      </c>
      <c r="M293" s="53">
        <v>564.12350000000004</v>
      </c>
      <c r="N293" s="3" t="s">
        <v>69</v>
      </c>
    </row>
    <row r="294" spans="1:14" x14ac:dyDescent="0.25">
      <c r="A294" s="51">
        <v>1.083</v>
      </c>
      <c r="B294" s="53">
        <v>6597.7250999999997</v>
      </c>
      <c r="C294" s="53">
        <v>401.62299999999999</v>
      </c>
      <c r="D294" s="53">
        <v>200.8115</v>
      </c>
      <c r="E294" s="53">
        <v>200.8115</v>
      </c>
      <c r="F294" s="53">
        <v>803.24599999999998</v>
      </c>
      <c r="G294" s="53">
        <v>401.62299999999999</v>
      </c>
      <c r="H294" s="53">
        <v>401.62299999999999</v>
      </c>
      <c r="I294" s="53">
        <v>803.24599999999998</v>
      </c>
      <c r="J294" s="53">
        <v>564.12350000000004</v>
      </c>
      <c r="K294" s="53">
        <v>1692.3705</v>
      </c>
      <c r="L294" s="53">
        <v>564.12350000000004</v>
      </c>
      <c r="M294" s="53">
        <v>564.12350000000004</v>
      </c>
      <c r="N294" s="3" t="s">
        <v>69</v>
      </c>
    </row>
    <row r="295" spans="1:14" x14ac:dyDescent="0.25">
      <c r="A295" s="51">
        <v>1.0840000000000001</v>
      </c>
      <c r="B295" s="53">
        <v>6600.6917999999996</v>
      </c>
      <c r="C295" s="53">
        <v>401.9939</v>
      </c>
      <c r="D295" s="53">
        <v>200.99690000000001</v>
      </c>
      <c r="E295" s="53">
        <v>200.99690000000001</v>
      </c>
      <c r="F295" s="53">
        <v>803.98770000000002</v>
      </c>
      <c r="G295" s="53">
        <v>401.9939</v>
      </c>
      <c r="H295" s="53">
        <v>401.9939</v>
      </c>
      <c r="I295" s="53">
        <v>803.98770000000002</v>
      </c>
      <c r="J295" s="53">
        <v>564.12350000000004</v>
      </c>
      <c r="K295" s="53">
        <v>1692.3705</v>
      </c>
      <c r="L295" s="53">
        <v>564.12350000000004</v>
      </c>
      <c r="M295" s="53">
        <v>564.12350000000004</v>
      </c>
      <c r="N295" s="3" t="s">
        <v>69</v>
      </c>
    </row>
    <row r="296" spans="1:14" x14ac:dyDescent="0.25">
      <c r="A296" s="51">
        <v>1.085</v>
      </c>
      <c r="B296" s="53">
        <v>6603.6585999999998</v>
      </c>
      <c r="C296" s="53">
        <v>402.36470000000003</v>
      </c>
      <c r="D296" s="53">
        <v>201.1823</v>
      </c>
      <c r="E296" s="53">
        <v>201.1823</v>
      </c>
      <c r="F296" s="53">
        <v>804.72940000000006</v>
      </c>
      <c r="G296" s="53">
        <v>402.36470000000003</v>
      </c>
      <c r="H296" s="53">
        <v>402.36470000000003</v>
      </c>
      <c r="I296" s="53">
        <v>804.72940000000006</v>
      </c>
      <c r="J296" s="53">
        <v>564.12350000000004</v>
      </c>
      <c r="K296" s="53">
        <v>1692.3705</v>
      </c>
      <c r="L296" s="53">
        <v>564.12350000000004</v>
      </c>
      <c r="M296" s="53">
        <v>564.12350000000004</v>
      </c>
      <c r="N296" s="3" t="s">
        <v>69</v>
      </c>
    </row>
    <row r="297" spans="1:14" x14ac:dyDescent="0.25">
      <c r="A297" s="51">
        <v>1.0860000000000001</v>
      </c>
      <c r="B297" s="53">
        <v>6606.6252999999997</v>
      </c>
      <c r="C297" s="53">
        <v>402.7355</v>
      </c>
      <c r="D297" s="53">
        <v>201.36779999999999</v>
      </c>
      <c r="E297" s="53">
        <v>201.36779999999999</v>
      </c>
      <c r="F297" s="53">
        <v>805.47109999999998</v>
      </c>
      <c r="G297" s="53">
        <v>402.7355</v>
      </c>
      <c r="H297" s="53">
        <v>402.7355</v>
      </c>
      <c r="I297" s="53">
        <v>805.47109999999998</v>
      </c>
      <c r="J297" s="53">
        <v>564.12350000000004</v>
      </c>
      <c r="K297" s="53">
        <v>1692.3705</v>
      </c>
      <c r="L297" s="53">
        <v>564.12350000000004</v>
      </c>
      <c r="M297" s="53">
        <v>564.12350000000004</v>
      </c>
      <c r="N297" s="3" t="s">
        <v>69</v>
      </c>
    </row>
    <row r="298" spans="1:14" x14ac:dyDescent="0.25">
      <c r="A298" s="51">
        <v>1.087</v>
      </c>
      <c r="B298" s="53">
        <v>6609.5920999999998</v>
      </c>
      <c r="C298" s="53">
        <v>403.10640000000001</v>
      </c>
      <c r="D298" s="53">
        <v>201.5532</v>
      </c>
      <c r="E298" s="53">
        <v>201.5532</v>
      </c>
      <c r="F298" s="53">
        <v>806.21280000000002</v>
      </c>
      <c r="G298" s="53">
        <v>403.10640000000001</v>
      </c>
      <c r="H298" s="53">
        <v>403.10640000000001</v>
      </c>
      <c r="I298" s="53">
        <v>806.21280000000002</v>
      </c>
      <c r="J298" s="53">
        <v>564.12350000000004</v>
      </c>
      <c r="K298" s="53">
        <v>1692.3705</v>
      </c>
      <c r="L298" s="53">
        <v>564.12350000000004</v>
      </c>
      <c r="M298" s="53">
        <v>564.12350000000004</v>
      </c>
      <c r="N298" s="3" t="s">
        <v>69</v>
      </c>
    </row>
    <row r="299" spans="1:14" x14ac:dyDescent="0.25">
      <c r="A299" s="51">
        <v>1.0880000000000001</v>
      </c>
      <c r="B299" s="53">
        <v>6612.5587999999998</v>
      </c>
      <c r="C299" s="53">
        <v>403.47719999999998</v>
      </c>
      <c r="D299" s="53">
        <v>201.73859999999999</v>
      </c>
      <c r="E299" s="53">
        <v>201.73859999999999</v>
      </c>
      <c r="F299" s="53">
        <v>806.95450000000005</v>
      </c>
      <c r="G299" s="53">
        <v>403.47719999999998</v>
      </c>
      <c r="H299" s="53">
        <v>403.47719999999998</v>
      </c>
      <c r="I299" s="53">
        <v>806.95450000000005</v>
      </c>
      <c r="J299" s="53">
        <v>564.12350000000004</v>
      </c>
      <c r="K299" s="53">
        <v>1692.3705</v>
      </c>
      <c r="L299" s="53">
        <v>564.12350000000004</v>
      </c>
      <c r="M299" s="53">
        <v>564.12350000000004</v>
      </c>
      <c r="N299" s="3" t="s">
        <v>69</v>
      </c>
    </row>
    <row r="300" spans="1:14" x14ac:dyDescent="0.25">
      <c r="A300" s="51">
        <v>1.089</v>
      </c>
      <c r="B300" s="53">
        <v>6615.5255999999999</v>
      </c>
      <c r="C300" s="53">
        <v>403.84809999999999</v>
      </c>
      <c r="D300" s="53">
        <v>201.92400000000001</v>
      </c>
      <c r="E300" s="53">
        <v>201.92400000000001</v>
      </c>
      <c r="F300" s="53">
        <v>807.6961</v>
      </c>
      <c r="G300" s="53">
        <v>403.84809999999999</v>
      </c>
      <c r="H300" s="53">
        <v>403.84809999999999</v>
      </c>
      <c r="I300" s="53">
        <v>807.6961</v>
      </c>
      <c r="J300" s="53">
        <v>564.12350000000004</v>
      </c>
      <c r="K300" s="53">
        <v>1692.3705</v>
      </c>
      <c r="L300" s="53">
        <v>564.12350000000004</v>
      </c>
      <c r="M300" s="53">
        <v>564.12350000000004</v>
      </c>
      <c r="N300" s="3" t="s">
        <v>69</v>
      </c>
    </row>
    <row r="301" spans="1:14" x14ac:dyDescent="0.25">
      <c r="A301" s="51">
        <v>1.0900000000000001</v>
      </c>
      <c r="B301" s="53">
        <v>6618.4922999999999</v>
      </c>
      <c r="C301" s="53">
        <v>404.21890000000002</v>
      </c>
      <c r="D301" s="53">
        <v>202.1095</v>
      </c>
      <c r="E301" s="53">
        <v>202.1095</v>
      </c>
      <c r="F301" s="53">
        <v>808.43780000000004</v>
      </c>
      <c r="G301" s="53">
        <v>404.21890000000002</v>
      </c>
      <c r="H301" s="53">
        <v>404.21890000000002</v>
      </c>
      <c r="I301" s="53">
        <v>808.43780000000004</v>
      </c>
      <c r="J301" s="53">
        <v>564.12350000000004</v>
      </c>
      <c r="K301" s="53">
        <v>1692.3705</v>
      </c>
      <c r="L301" s="53">
        <v>564.12350000000004</v>
      </c>
      <c r="M301" s="53">
        <v>564.12350000000004</v>
      </c>
      <c r="N301" s="3" t="s">
        <v>69</v>
      </c>
    </row>
    <row r="302" spans="1:14" x14ac:dyDescent="0.25">
      <c r="A302" s="51">
        <v>1.091</v>
      </c>
      <c r="B302" s="53">
        <v>6621.4589999999998</v>
      </c>
      <c r="C302" s="53">
        <v>404.58980000000003</v>
      </c>
      <c r="D302" s="53">
        <v>202.29490000000001</v>
      </c>
      <c r="E302" s="53">
        <v>202.29490000000001</v>
      </c>
      <c r="F302" s="53">
        <v>809.17949999999996</v>
      </c>
      <c r="G302" s="53">
        <v>404.58980000000003</v>
      </c>
      <c r="H302" s="53">
        <v>404.58980000000003</v>
      </c>
      <c r="I302" s="53">
        <v>809.17949999999996</v>
      </c>
      <c r="J302" s="53">
        <v>564.12350000000004</v>
      </c>
      <c r="K302" s="53">
        <v>1692.3705</v>
      </c>
      <c r="L302" s="53">
        <v>564.12350000000004</v>
      </c>
      <c r="M302" s="53">
        <v>564.12350000000004</v>
      </c>
      <c r="N302" s="3" t="s">
        <v>69</v>
      </c>
    </row>
    <row r="303" spans="1:14" x14ac:dyDescent="0.25">
      <c r="A303" s="51">
        <v>1.0920000000000001</v>
      </c>
      <c r="B303" s="53">
        <v>6624.4258</v>
      </c>
      <c r="C303" s="53">
        <v>404.9606</v>
      </c>
      <c r="D303" s="53">
        <v>202.4803</v>
      </c>
      <c r="E303" s="53">
        <v>202.4803</v>
      </c>
      <c r="F303" s="53">
        <v>809.9212</v>
      </c>
      <c r="G303" s="53">
        <v>404.9606</v>
      </c>
      <c r="H303" s="53">
        <v>404.9606</v>
      </c>
      <c r="I303" s="53">
        <v>809.9212</v>
      </c>
      <c r="J303" s="53">
        <v>564.12350000000004</v>
      </c>
      <c r="K303" s="53">
        <v>1692.3705</v>
      </c>
      <c r="L303" s="53">
        <v>564.12350000000004</v>
      </c>
      <c r="M303" s="53">
        <v>564.12350000000004</v>
      </c>
      <c r="N303" s="3" t="s">
        <v>69</v>
      </c>
    </row>
    <row r="304" spans="1:14" x14ac:dyDescent="0.25">
      <c r="A304" s="51">
        <v>1.093</v>
      </c>
      <c r="B304" s="53">
        <v>6627.3924999999999</v>
      </c>
      <c r="C304" s="53">
        <v>405.33139999999997</v>
      </c>
      <c r="D304" s="53">
        <v>202.66569999999999</v>
      </c>
      <c r="E304" s="53">
        <v>202.66569999999999</v>
      </c>
      <c r="F304" s="53">
        <v>810.66290000000004</v>
      </c>
      <c r="G304" s="53">
        <v>405.33139999999997</v>
      </c>
      <c r="H304" s="53">
        <v>405.33139999999997</v>
      </c>
      <c r="I304" s="53">
        <v>810.66290000000004</v>
      </c>
      <c r="J304" s="53">
        <v>564.12350000000004</v>
      </c>
      <c r="K304" s="53">
        <v>1692.3705</v>
      </c>
      <c r="L304" s="53">
        <v>564.12350000000004</v>
      </c>
      <c r="M304" s="53">
        <v>564.12350000000004</v>
      </c>
      <c r="N304" s="3" t="s">
        <v>69</v>
      </c>
    </row>
    <row r="305" spans="1:14" x14ac:dyDescent="0.25">
      <c r="A305" s="51">
        <v>1.0940000000000001</v>
      </c>
      <c r="B305" s="53">
        <v>6630.3593000000001</v>
      </c>
      <c r="C305" s="53">
        <v>405.70229999999998</v>
      </c>
      <c r="D305" s="53">
        <v>202.8511</v>
      </c>
      <c r="E305" s="53">
        <v>202.8511</v>
      </c>
      <c r="F305" s="53">
        <v>811.40459999999996</v>
      </c>
      <c r="G305" s="53">
        <v>405.70229999999998</v>
      </c>
      <c r="H305" s="53">
        <v>405.70229999999998</v>
      </c>
      <c r="I305" s="53">
        <v>811.40459999999996</v>
      </c>
      <c r="J305" s="53">
        <v>564.12350000000004</v>
      </c>
      <c r="K305" s="53">
        <v>1692.3705</v>
      </c>
      <c r="L305" s="53">
        <v>564.12350000000004</v>
      </c>
      <c r="M305" s="53">
        <v>564.12350000000004</v>
      </c>
      <c r="N305" s="3" t="s">
        <v>69</v>
      </c>
    </row>
    <row r="306" spans="1:14" x14ac:dyDescent="0.25">
      <c r="A306" s="51">
        <v>1.095</v>
      </c>
      <c r="B306" s="53">
        <v>6633.326</v>
      </c>
      <c r="C306" s="53">
        <v>406.07310000000001</v>
      </c>
      <c r="D306" s="53">
        <v>203.03659999999999</v>
      </c>
      <c r="E306" s="53">
        <v>203.03659999999999</v>
      </c>
      <c r="F306" s="53">
        <v>812.1463</v>
      </c>
      <c r="G306" s="53">
        <v>406.07310000000001</v>
      </c>
      <c r="H306" s="53">
        <v>406.07310000000001</v>
      </c>
      <c r="I306" s="53">
        <v>812.1463</v>
      </c>
      <c r="J306" s="53">
        <v>564.12350000000004</v>
      </c>
      <c r="K306" s="53">
        <v>1692.3705</v>
      </c>
      <c r="L306" s="53">
        <v>564.12350000000004</v>
      </c>
      <c r="M306" s="53">
        <v>564.12350000000004</v>
      </c>
      <c r="N306" s="3" t="s">
        <v>69</v>
      </c>
    </row>
    <row r="307" spans="1:14" x14ac:dyDescent="0.25">
      <c r="A307" s="51">
        <v>1.0960000000000001</v>
      </c>
      <c r="B307" s="53">
        <v>6636.2928000000002</v>
      </c>
      <c r="C307" s="53">
        <v>406.44400000000002</v>
      </c>
      <c r="D307" s="53">
        <v>203.22200000000001</v>
      </c>
      <c r="E307" s="53">
        <v>203.22200000000001</v>
      </c>
      <c r="F307" s="53">
        <v>812.88789999999995</v>
      </c>
      <c r="G307" s="53">
        <v>406.44400000000002</v>
      </c>
      <c r="H307" s="53">
        <v>406.44400000000002</v>
      </c>
      <c r="I307" s="53">
        <v>812.88789999999995</v>
      </c>
      <c r="J307" s="53">
        <v>564.12350000000004</v>
      </c>
      <c r="K307" s="53">
        <v>1692.3705</v>
      </c>
      <c r="L307" s="53">
        <v>564.12350000000004</v>
      </c>
      <c r="M307" s="53">
        <v>564.12350000000004</v>
      </c>
      <c r="N307" s="3" t="s">
        <v>69</v>
      </c>
    </row>
    <row r="308" spans="1:14" x14ac:dyDescent="0.25">
      <c r="A308" s="51">
        <v>1.097</v>
      </c>
      <c r="B308" s="53">
        <v>6639.2595000000001</v>
      </c>
      <c r="C308" s="53">
        <v>406.81479999999999</v>
      </c>
      <c r="D308" s="53">
        <v>203.4074</v>
      </c>
      <c r="E308" s="53">
        <v>203.4074</v>
      </c>
      <c r="F308" s="53">
        <v>813.62959999999998</v>
      </c>
      <c r="G308" s="53">
        <v>406.81479999999999</v>
      </c>
      <c r="H308" s="53">
        <v>406.81479999999999</v>
      </c>
      <c r="I308" s="53">
        <v>813.62959999999998</v>
      </c>
      <c r="J308" s="53">
        <v>564.12350000000004</v>
      </c>
      <c r="K308" s="53">
        <v>1692.3705</v>
      </c>
      <c r="L308" s="53">
        <v>564.12350000000004</v>
      </c>
      <c r="M308" s="53">
        <v>564.12350000000004</v>
      </c>
      <c r="N308" s="3" t="s">
        <v>69</v>
      </c>
    </row>
    <row r="309" spans="1:14" x14ac:dyDescent="0.25">
      <c r="A309" s="51">
        <v>1.0980000000000001</v>
      </c>
      <c r="B309" s="53">
        <v>6642.2263000000003</v>
      </c>
      <c r="C309" s="53">
        <v>407.1857</v>
      </c>
      <c r="D309" s="53">
        <v>203.59280000000001</v>
      </c>
      <c r="E309" s="53">
        <v>203.59280000000001</v>
      </c>
      <c r="F309" s="53">
        <v>814.37130000000002</v>
      </c>
      <c r="G309" s="53">
        <v>407.1857</v>
      </c>
      <c r="H309" s="53">
        <v>407.1857</v>
      </c>
      <c r="I309" s="53">
        <v>814.37130000000002</v>
      </c>
      <c r="J309" s="53">
        <v>564.12350000000004</v>
      </c>
      <c r="K309" s="53">
        <v>1692.3705</v>
      </c>
      <c r="L309" s="53">
        <v>564.12350000000004</v>
      </c>
      <c r="M309" s="53">
        <v>564.12350000000004</v>
      </c>
      <c r="N309" s="3" t="s">
        <v>69</v>
      </c>
    </row>
    <row r="310" spans="1:14" x14ac:dyDescent="0.25">
      <c r="A310" s="51">
        <v>1.099</v>
      </c>
      <c r="B310" s="53">
        <v>6645.1930000000002</v>
      </c>
      <c r="C310" s="53">
        <v>407.55650000000003</v>
      </c>
      <c r="D310" s="53">
        <v>203.7783</v>
      </c>
      <c r="E310" s="53">
        <v>203.7783</v>
      </c>
      <c r="F310" s="53">
        <v>815.11300000000006</v>
      </c>
      <c r="G310" s="53">
        <v>407.55650000000003</v>
      </c>
      <c r="H310" s="53">
        <v>407.55650000000003</v>
      </c>
      <c r="I310" s="53">
        <v>815.11300000000006</v>
      </c>
      <c r="J310" s="53">
        <v>564.12350000000004</v>
      </c>
      <c r="K310" s="53">
        <v>1692.3705</v>
      </c>
      <c r="L310" s="53">
        <v>564.12350000000004</v>
      </c>
      <c r="M310" s="53">
        <v>564.12350000000004</v>
      </c>
      <c r="N310" s="3" t="s">
        <v>69</v>
      </c>
    </row>
    <row r="311" spans="1:14" x14ac:dyDescent="0.25">
      <c r="A311" s="51">
        <v>1.1000000000000001</v>
      </c>
      <c r="B311" s="53">
        <v>7627.1854000000003</v>
      </c>
      <c r="C311" s="53">
        <v>530.30550000000005</v>
      </c>
      <c r="D311" s="53">
        <v>265.15280000000001</v>
      </c>
      <c r="E311" s="53">
        <v>265.15280000000001</v>
      </c>
      <c r="F311" s="53">
        <v>1060.6111000000001</v>
      </c>
      <c r="G311" s="53">
        <v>530.30550000000005</v>
      </c>
      <c r="H311" s="53">
        <v>530.30550000000005</v>
      </c>
      <c r="I311" s="53">
        <v>1060.6111000000001</v>
      </c>
      <c r="J311" s="53">
        <v>564.12350000000004</v>
      </c>
      <c r="K311" s="53">
        <v>1692.3705</v>
      </c>
      <c r="L311" s="53">
        <v>564.12350000000004</v>
      </c>
      <c r="M311" s="53">
        <v>564.12350000000004</v>
      </c>
      <c r="N311" s="3" t="s">
        <v>69</v>
      </c>
    </row>
    <row r="312" spans="1:14" x14ac:dyDescent="0.25">
      <c r="A312" s="51">
        <v>1.101</v>
      </c>
      <c r="B312" s="53">
        <v>7631.0420999999997</v>
      </c>
      <c r="C312" s="53">
        <v>530.7876</v>
      </c>
      <c r="D312" s="53">
        <v>265.3938</v>
      </c>
      <c r="E312" s="53">
        <v>265.3938</v>
      </c>
      <c r="F312" s="53">
        <v>1061.5753</v>
      </c>
      <c r="G312" s="53">
        <v>530.7876</v>
      </c>
      <c r="H312" s="53">
        <v>530.7876</v>
      </c>
      <c r="I312" s="53">
        <v>1061.5753</v>
      </c>
      <c r="J312" s="53">
        <v>564.12350000000004</v>
      </c>
      <c r="K312" s="53">
        <v>1692.3705</v>
      </c>
      <c r="L312" s="53">
        <v>564.12350000000004</v>
      </c>
      <c r="M312" s="53">
        <v>564.12350000000004</v>
      </c>
      <c r="N312" s="3" t="s">
        <v>69</v>
      </c>
    </row>
    <row r="313" spans="1:14" x14ac:dyDescent="0.25">
      <c r="A313" s="51">
        <v>1.1020000000000001</v>
      </c>
      <c r="B313" s="53">
        <v>7634.8989000000001</v>
      </c>
      <c r="C313" s="53">
        <v>531.26969999999994</v>
      </c>
      <c r="D313" s="53">
        <v>265.63490000000002</v>
      </c>
      <c r="E313" s="53">
        <v>265.63490000000002</v>
      </c>
      <c r="F313" s="53">
        <v>1062.5395000000001</v>
      </c>
      <c r="G313" s="53">
        <v>531.26969999999994</v>
      </c>
      <c r="H313" s="53">
        <v>531.26969999999994</v>
      </c>
      <c r="I313" s="53">
        <v>1062.5395000000001</v>
      </c>
      <c r="J313" s="53">
        <v>564.12350000000004</v>
      </c>
      <c r="K313" s="53">
        <v>1692.3705</v>
      </c>
      <c r="L313" s="53">
        <v>564.12350000000004</v>
      </c>
      <c r="M313" s="53">
        <v>564.12350000000004</v>
      </c>
      <c r="N313" s="3" t="s">
        <v>69</v>
      </c>
    </row>
    <row r="314" spans="1:14" x14ac:dyDescent="0.25">
      <c r="A314" s="51">
        <v>1.103</v>
      </c>
      <c r="B314" s="53">
        <v>7638.7556999999997</v>
      </c>
      <c r="C314" s="53">
        <v>531.7518</v>
      </c>
      <c r="D314" s="53">
        <v>265.8759</v>
      </c>
      <c r="E314" s="53">
        <v>265.8759</v>
      </c>
      <c r="F314" s="53">
        <v>1063.5037</v>
      </c>
      <c r="G314" s="53">
        <v>531.7518</v>
      </c>
      <c r="H314" s="53">
        <v>531.7518</v>
      </c>
      <c r="I314" s="53">
        <v>1063.5037</v>
      </c>
      <c r="J314" s="53">
        <v>564.12350000000004</v>
      </c>
      <c r="K314" s="53">
        <v>1692.3705</v>
      </c>
      <c r="L314" s="53">
        <v>564.12350000000004</v>
      </c>
      <c r="M314" s="53">
        <v>564.12350000000004</v>
      </c>
      <c r="N314" s="3" t="s">
        <v>69</v>
      </c>
    </row>
    <row r="315" spans="1:14" x14ac:dyDescent="0.25">
      <c r="A315" s="51">
        <v>1.1040000000000001</v>
      </c>
      <c r="B315" s="53">
        <v>7642.6124</v>
      </c>
      <c r="C315" s="53">
        <v>532.23389999999995</v>
      </c>
      <c r="D315" s="53">
        <v>266.11700000000002</v>
      </c>
      <c r="E315" s="53">
        <v>266.11700000000002</v>
      </c>
      <c r="F315" s="53">
        <v>1064.4679000000001</v>
      </c>
      <c r="G315" s="53">
        <v>532.23389999999995</v>
      </c>
      <c r="H315" s="53">
        <v>532.23389999999995</v>
      </c>
      <c r="I315" s="53">
        <v>1064.4679000000001</v>
      </c>
      <c r="J315" s="53">
        <v>564.12350000000004</v>
      </c>
      <c r="K315" s="53">
        <v>1692.3705</v>
      </c>
      <c r="L315" s="53">
        <v>564.12350000000004</v>
      </c>
      <c r="M315" s="53">
        <v>564.12350000000004</v>
      </c>
      <c r="N315" s="3" t="s">
        <v>69</v>
      </c>
    </row>
    <row r="316" spans="1:14" x14ac:dyDescent="0.25">
      <c r="A316" s="51">
        <v>1.105</v>
      </c>
      <c r="B316" s="53">
        <v>7646.4691999999995</v>
      </c>
      <c r="C316" s="53">
        <v>532.71600000000001</v>
      </c>
      <c r="D316" s="53">
        <v>266.358</v>
      </c>
      <c r="E316" s="53">
        <v>266.358</v>
      </c>
      <c r="F316" s="53">
        <v>1065.4321</v>
      </c>
      <c r="G316" s="53">
        <v>532.71600000000001</v>
      </c>
      <c r="H316" s="53">
        <v>532.71600000000001</v>
      </c>
      <c r="I316" s="53">
        <v>1065.4321</v>
      </c>
      <c r="J316" s="53">
        <v>564.12350000000004</v>
      </c>
      <c r="K316" s="53">
        <v>1692.3705</v>
      </c>
      <c r="L316" s="53">
        <v>564.12350000000004</v>
      </c>
      <c r="M316" s="53">
        <v>564.12350000000004</v>
      </c>
      <c r="N316" s="3" t="s">
        <v>69</v>
      </c>
    </row>
    <row r="317" spans="1:14" x14ac:dyDescent="0.25">
      <c r="A317" s="51">
        <v>1.1060000000000001</v>
      </c>
      <c r="B317" s="53">
        <v>7650.326</v>
      </c>
      <c r="C317" s="53">
        <v>533.19809999999995</v>
      </c>
      <c r="D317" s="53">
        <v>266.59910000000002</v>
      </c>
      <c r="E317" s="53">
        <v>266.59910000000002</v>
      </c>
      <c r="F317" s="53">
        <v>1066.3961999999999</v>
      </c>
      <c r="G317" s="53">
        <v>533.19809999999995</v>
      </c>
      <c r="H317" s="53">
        <v>533.19809999999995</v>
      </c>
      <c r="I317" s="53">
        <v>1066.3961999999999</v>
      </c>
      <c r="J317" s="53">
        <v>564.12350000000004</v>
      </c>
      <c r="K317" s="53">
        <v>1692.3705</v>
      </c>
      <c r="L317" s="53">
        <v>564.12350000000004</v>
      </c>
      <c r="M317" s="53">
        <v>564.12350000000004</v>
      </c>
      <c r="N317" s="3" t="s">
        <v>69</v>
      </c>
    </row>
    <row r="318" spans="1:14" x14ac:dyDescent="0.25">
      <c r="A318" s="51">
        <v>1.107</v>
      </c>
      <c r="B318" s="53">
        <v>7654.1827000000003</v>
      </c>
      <c r="C318" s="53">
        <v>533.68020000000001</v>
      </c>
      <c r="D318" s="53">
        <v>266.84010000000001</v>
      </c>
      <c r="E318" s="53">
        <v>266.84010000000001</v>
      </c>
      <c r="F318" s="53">
        <v>1067.3604</v>
      </c>
      <c r="G318" s="53">
        <v>533.68020000000001</v>
      </c>
      <c r="H318" s="53">
        <v>533.68020000000001</v>
      </c>
      <c r="I318" s="53">
        <v>1067.3604</v>
      </c>
      <c r="J318" s="53">
        <v>564.12350000000004</v>
      </c>
      <c r="K318" s="53">
        <v>1692.3705</v>
      </c>
      <c r="L318" s="53">
        <v>564.12350000000004</v>
      </c>
      <c r="M318" s="53">
        <v>564.12350000000004</v>
      </c>
      <c r="N318" s="3" t="s">
        <v>69</v>
      </c>
    </row>
    <row r="319" spans="1:14" x14ac:dyDescent="0.25">
      <c r="A319" s="51">
        <v>1.1080000000000001</v>
      </c>
      <c r="B319" s="53">
        <v>7658.0394999999999</v>
      </c>
      <c r="C319" s="53">
        <v>534.16229999999996</v>
      </c>
      <c r="D319" s="53">
        <v>267.08120000000002</v>
      </c>
      <c r="E319" s="53">
        <v>267.08120000000002</v>
      </c>
      <c r="F319" s="53">
        <v>1068.3245999999999</v>
      </c>
      <c r="G319" s="53">
        <v>534.16229999999996</v>
      </c>
      <c r="H319" s="53">
        <v>534.16229999999996</v>
      </c>
      <c r="I319" s="53">
        <v>1068.3245999999999</v>
      </c>
      <c r="J319" s="53">
        <v>564.12350000000004</v>
      </c>
      <c r="K319" s="53">
        <v>1692.3705</v>
      </c>
      <c r="L319" s="53">
        <v>564.12350000000004</v>
      </c>
      <c r="M319" s="53">
        <v>564.12350000000004</v>
      </c>
      <c r="N319" s="3" t="s">
        <v>69</v>
      </c>
    </row>
    <row r="320" spans="1:14" x14ac:dyDescent="0.25">
      <c r="A320" s="51">
        <v>1.109</v>
      </c>
      <c r="B320" s="53">
        <v>7661.8963000000003</v>
      </c>
      <c r="C320" s="53">
        <v>534.64440000000002</v>
      </c>
      <c r="D320" s="53">
        <v>267.32220000000001</v>
      </c>
      <c r="E320" s="53">
        <v>267.32220000000001</v>
      </c>
      <c r="F320" s="53">
        <v>1069.2888</v>
      </c>
      <c r="G320" s="53">
        <v>534.64440000000002</v>
      </c>
      <c r="H320" s="53">
        <v>534.64440000000002</v>
      </c>
      <c r="I320" s="53">
        <v>1069.2888</v>
      </c>
      <c r="J320" s="53">
        <v>564.12350000000004</v>
      </c>
      <c r="K320" s="53">
        <v>1692.3705</v>
      </c>
      <c r="L320" s="53">
        <v>564.12350000000004</v>
      </c>
      <c r="M320" s="53">
        <v>564.12350000000004</v>
      </c>
      <c r="N320" s="3" t="s">
        <v>69</v>
      </c>
    </row>
    <row r="321" spans="1:14" x14ac:dyDescent="0.25">
      <c r="A321" s="51">
        <v>1.1100000000000001</v>
      </c>
      <c r="B321" s="53">
        <v>9009.2001999999993</v>
      </c>
      <c r="C321" s="53">
        <v>703.05740000000003</v>
      </c>
      <c r="D321" s="53">
        <v>351.52870000000001</v>
      </c>
      <c r="E321" s="53">
        <v>351.52870000000001</v>
      </c>
      <c r="F321" s="53">
        <v>1406.1148000000001</v>
      </c>
      <c r="G321" s="53">
        <v>703.05740000000003</v>
      </c>
      <c r="H321" s="53">
        <v>703.05740000000003</v>
      </c>
      <c r="I321" s="53">
        <v>1406.1148000000001</v>
      </c>
      <c r="J321" s="53">
        <v>564.12350000000004</v>
      </c>
      <c r="K321" s="53">
        <v>1692.3705</v>
      </c>
      <c r="L321" s="53">
        <v>564.12350000000004</v>
      </c>
      <c r="M321" s="53">
        <v>564.12350000000004</v>
      </c>
      <c r="N321" s="3" t="s">
        <v>69</v>
      </c>
    </row>
    <row r="322" spans="1:14" x14ac:dyDescent="0.25">
      <c r="A322" s="51">
        <v>1.111</v>
      </c>
      <c r="B322" s="53">
        <v>9014.2672999999995</v>
      </c>
      <c r="C322" s="53">
        <v>703.69079999999997</v>
      </c>
      <c r="D322" s="53">
        <v>351.84539999999998</v>
      </c>
      <c r="E322" s="53">
        <v>351.84539999999998</v>
      </c>
      <c r="F322" s="53">
        <v>1407.3815999999999</v>
      </c>
      <c r="G322" s="53">
        <v>703.69079999999997</v>
      </c>
      <c r="H322" s="53">
        <v>703.69079999999997</v>
      </c>
      <c r="I322" s="53">
        <v>1407.3815999999999</v>
      </c>
      <c r="J322" s="53">
        <v>564.12350000000004</v>
      </c>
      <c r="K322" s="53">
        <v>1692.3705</v>
      </c>
      <c r="L322" s="53">
        <v>564.12350000000004</v>
      </c>
      <c r="M322" s="53">
        <v>564.12350000000004</v>
      </c>
      <c r="N322" s="3" t="s">
        <v>69</v>
      </c>
    </row>
    <row r="323" spans="1:14" x14ac:dyDescent="0.25">
      <c r="A323" s="51">
        <v>1.1120000000000001</v>
      </c>
      <c r="B323" s="53">
        <v>9019.3343999999997</v>
      </c>
      <c r="C323" s="53">
        <v>704.32420000000002</v>
      </c>
      <c r="D323" s="53">
        <v>352.16210000000001</v>
      </c>
      <c r="E323" s="53">
        <v>352.16210000000001</v>
      </c>
      <c r="F323" s="53">
        <v>1408.6483000000001</v>
      </c>
      <c r="G323" s="53">
        <v>704.32420000000002</v>
      </c>
      <c r="H323" s="53">
        <v>704.32420000000002</v>
      </c>
      <c r="I323" s="53">
        <v>1408.6483000000001</v>
      </c>
      <c r="J323" s="53">
        <v>564.12350000000004</v>
      </c>
      <c r="K323" s="53">
        <v>1692.3705</v>
      </c>
      <c r="L323" s="53">
        <v>564.12350000000004</v>
      </c>
      <c r="M323" s="53">
        <v>564.12350000000004</v>
      </c>
      <c r="N323" s="3" t="s">
        <v>69</v>
      </c>
    </row>
    <row r="324" spans="1:14" x14ac:dyDescent="0.25">
      <c r="A324" s="51">
        <v>1.113</v>
      </c>
      <c r="B324" s="53">
        <v>9024.4014000000006</v>
      </c>
      <c r="C324" s="53">
        <v>704.95759999999996</v>
      </c>
      <c r="D324" s="53">
        <v>352.47879999999998</v>
      </c>
      <c r="E324" s="53">
        <v>352.47879999999998</v>
      </c>
      <c r="F324" s="53">
        <v>1409.9150999999999</v>
      </c>
      <c r="G324" s="53">
        <v>704.95759999999996</v>
      </c>
      <c r="H324" s="53">
        <v>704.95759999999996</v>
      </c>
      <c r="I324" s="53">
        <v>1409.9150999999999</v>
      </c>
      <c r="J324" s="53">
        <v>564.12350000000004</v>
      </c>
      <c r="K324" s="53">
        <v>1692.3705</v>
      </c>
      <c r="L324" s="53">
        <v>564.12350000000004</v>
      </c>
      <c r="M324" s="53">
        <v>564.12350000000004</v>
      </c>
      <c r="N324" s="3" t="s">
        <v>69</v>
      </c>
    </row>
    <row r="325" spans="1:14" x14ac:dyDescent="0.25">
      <c r="A325" s="51">
        <v>1.1140000000000001</v>
      </c>
      <c r="B325" s="53">
        <v>9029.4685000000009</v>
      </c>
      <c r="C325" s="53">
        <v>705.59090000000003</v>
      </c>
      <c r="D325" s="53">
        <v>352.7955</v>
      </c>
      <c r="E325" s="53">
        <v>352.7955</v>
      </c>
      <c r="F325" s="53">
        <v>1411.1819</v>
      </c>
      <c r="G325" s="53">
        <v>705.59090000000003</v>
      </c>
      <c r="H325" s="53">
        <v>705.59090000000003</v>
      </c>
      <c r="I325" s="53">
        <v>1411.1819</v>
      </c>
      <c r="J325" s="53">
        <v>564.12350000000004</v>
      </c>
      <c r="K325" s="53">
        <v>1692.3705</v>
      </c>
      <c r="L325" s="53">
        <v>564.12350000000004</v>
      </c>
      <c r="M325" s="53">
        <v>564.12350000000004</v>
      </c>
      <c r="N325" s="3" t="s">
        <v>69</v>
      </c>
    </row>
    <row r="326" spans="1:14" x14ac:dyDescent="0.25">
      <c r="A326" s="51">
        <v>1.115</v>
      </c>
      <c r="B326" s="53">
        <v>9034.5355999999992</v>
      </c>
      <c r="C326" s="53">
        <v>706.22429999999997</v>
      </c>
      <c r="D326" s="53">
        <v>353.11219999999997</v>
      </c>
      <c r="E326" s="53">
        <v>353.11219999999997</v>
      </c>
      <c r="F326" s="53">
        <v>1412.4486999999999</v>
      </c>
      <c r="G326" s="53">
        <v>706.22429999999997</v>
      </c>
      <c r="H326" s="53">
        <v>706.22429999999997</v>
      </c>
      <c r="I326" s="53">
        <v>1412.4486999999999</v>
      </c>
      <c r="J326" s="53">
        <v>564.12350000000004</v>
      </c>
      <c r="K326" s="53">
        <v>1692.3705</v>
      </c>
      <c r="L326" s="53">
        <v>564.12350000000004</v>
      </c>
      <c r="M326" s="53">
        <v>564.12350000000004</v>
      </c>
      <c r="N326" s="3" t="s">
        <v>69</v>
      </c>
    </row>
    <row r="327" spans="1:14" x14ac:dyDescent="0.25">
      <c r="A327" s="51">
        <v>1.1160000000000001</v>
      </c>
      <c r="B327" s="53">
        <v>9039.6026999999995</v>
      </c>
      <c r="C327" s="53">
        <v>706.85770000000002</v>
      </c>
      <c r="D327" s="53">
        <v>353.4289</v>
      </c>
      <c r="E327" s="53">
        <v>353.4289</v>
      </c>
      <c r="F327" s="53">
        <v>1413.7154</v>
      </c>
      <c r="G327" s="53">
        <v>706.85770000000002</v>
      </c>
      <c r="H327" s="53">
        <v>706.85770000000002</v>
      </c>
      <c r="I327" s="53">
        <v>1413.7154</v>
      </c>
      <c r="J327" s="53">
        <v>564.12350000000004</v>
      </c>
      <c r="K327" s="53">
        <v>1692.3705</v>
      </c>
      <c r="L327" s="53">
        <v>564.12350000000004</v>
      </c>
      <c r="M327" s="53">
        <v>564.12350000000004</v>
      </c>
      <c r="N327" s="3" t="s">
        <v>69</v>
      </c>
    </row>
    <row r="328" spans="1:14" x14ac:dyDescent="0.25">
      <c r="A328" s="51">
        <v>1.117</v>
      </c>
      <c r="B328" s="53">
        <v>9044.6697999999997</v>
      </c>
      <c r="C328" s="53">
        <v>707.49109999999996</v>
      </c>
      <c r="D328" s="53">
        <v>353.74549999999999</v>
      </c>
      <c r="E328" s="53">
        <v>353.74549999999999</v>
      </c>
      <c r="F328" s="53">
        <v>1414.9821999999999</v>
      </c>
      <c r="G328" s="53">
        <v>707.49109999999996</v>
      </c>
      <c r="H328" s="53">
        <v>707.49109999999996</v>
      </c>
      <c r="I328" s="53">
        <v>1414.9821999999999</v>
      </c>
      <c r="J328" s="53">
        <v>564.12350000000004</v>
      </c>
      <c r="K328" s="53">
        <v>1692.3705</v>
      </c>
      <c r="L328" s="53">
        <v>564.12350000000004</v>
      </c>
      <c r="M328" s="53">
        <v>564.12350000000004</v>
      </c>
      <c r="N328" s="3" t="s">
        <v>69</v>
      </c>
    </row>
    <row r="329" spans="1:14" x14ac:dyDescent="0.25">
      <c r="A329" s="51">
        <v>1.1180000000000001</v>
      </c>
      <c r="B329" s="53">
        <v>9049.7368000000006</v>
      </c>
      <c r="C329" s="53">
        <v>708.12450000000001</v>
      </c>
      <c r="D329" s="53">
        <v>354.06220000000002</v>
      </c>
      <c r="E329" s="53">
        <v>354.06220000000002</v>
      </c>
      <c r="F329" s="53">
        <v>1416.249</v>
      </c>
      <c r="G329" s="53">
        <v>708.12450000000001</v>
      </c>
      <c r="H329" s="53">
        <v>708.12450000000001</v>
      </c>
      <c r="I329" s="53">
        <v>1416.249</v>
      </c>
      <c r="J329" s="53">
        <v>564.12350000000004</v>
      </c>
      <c r="K329" s="53">
        <v>1692.3705</v>
      </c>
      <c r="L329" s="53">
        <v>564.12350000000004</v>
      </c>
      <c r="M329" s="53">
        <v>564.12350000000004</v>
      </c>
      <c r="N329" s="3" t="s">
        <v>69</v>
      </c>
    </row>
    <row r="330" spans="1:14" x14ac:dyDescent="0.25">
      <c r="A330" s="51">
        <v>1.119</v>
      </c>
      <c r="B330" s="53">
        <v>9054.8039000000008</v>
      </c>
      <c r="C330" s="53">
        <v>708.75789999999995</v>
      </c>
      <c r="D330" s="53">
        <v>354.37889999999999</v>
      </c>
      <c r="E330" s="53">
        <v>354.37889999999999</v>
      </c>
      <c r="F330" s="53">
        <v>1417.5156999999999</v>
      </c>
      <c r="G330" s="53">
        <v>708.75789999999995</v>
      </c>
      <c r="H330" s="53">
        <v>708.75789999999995</v>
      </c>
      <c r="I330" s="53">
        <v>1417.5156999999999</v>
      </c>
      <c r="J330" s="53">
        <v>564.12350000000004</v>
      </c>
      <c r="K330" s="53">
        <v>1692.3705</v>
      </c>
      <c r="L330" s="53">
        <v>564.12350000000004</v>
      </c>
      <c r="M330" s="53">
        <v>564.12350000000004</v>
      </c>
      <c r="N330" s="3" t="s">
        <v>69</v>
      </c>
    </row>
    <row r="331" spans="1:14" x14ac:dyDescent="0.25">
      <c r="A331" s="51">
        <v>1.1200000000000001</v>
      </c>
      <c r="B331" s="53">
        <v>9059.8709999999992</v>
      </c>
      <c r="C331" s="53">
        <v>709.3913</v>
      </c>
      <c r="D331" s="53">
        <v>354.69560000000001</v>
      </c>
      <c r="E331" s="53">
        <v>354.69560000000001</v>
      </c>
      <c r="F331" s="53">
        <v>1418.7825</v>
      </c>
      <c r="G331" s="53">
        <v>709.3913</v>
      </c>
      <c r="H331" s="53">
        <v>709.3913</v>
      </c>
      <c r="I331" s="53">
        <v>1418.7825</v>
      </c>
      <c r="J331" s="53">
        <v>564.12350000000004</v>
      </c>
      <c r="K331" s="53">
        <v>1692.3705</v>
      </c>
      <c r="L331" s="53">
        <v>564.12350000000004</v>
      </c>
      <c r="M331" s="53">
        <v>564.12350000000004</v>
      </c>
      <c r="N331" s="3" t="s">
        <v>69</v>
      </c>
    </row>
    <row r="332" spans="1:14" x14ac:dyDescent="0.25">
      <c r="A332" s="51">
        <v>1.121</v>
      </c>
      <c r="B332" s="53">
        <v>9064.9380999999994</v>
      </c>
      <c r="C332" s="53">
        <v>710.02459999999996</v>
      </c>
      <c r="D332" s="53">
        <v>355.01229999999998</v>
      </c>
      <c r="E332" s="53">
        <v>355.01229999999998</v>
      </c>
      <c r="F332" s="53">
        <v>1420.0492999999999</v>
      </c>
      <c r="G332" s="53">
        <v>710.02459999999996</v>
      </c>
      <c r="H332" s="53">
        <v>710.02459999999996</v>
      </c>
      <c r="I332" s="53">
        <v>1420.0492999999999</v>
      </c>
      <c r="J332" s="53">
        <v>564.12350000000004</v>
      </c>
      <c r="K332" s="53">
        <v>1692.3705</v>
      </c>
      <c r="L332" s="53">
        <v>564.12350000000004</v>
      </c>
      <c r="M332" s="53">
        <v>564.12350000000004</v>
      </c>
      <c r="N332" s="3" t="s">
        <v>69</v>
      </c>
    </row>
    <row r="333" spans="1:14" x14ac:dyDescent="0.25">
      <c r="A333" s="51">
        <v>1.1220000000000001</v>
      </c>
      <c r="B333" s="53">
        <v>9070.0051999999996</v>
      </c>
      <c r="C333" s="53">
        <v>710.65800000000002</v>
      </c>
      <c r="D333" s="53">
        <v>355.32900000000001</v>
      </c>
      <c r="E333" s="53">
        <v>355.32900000000001</v>
      </c>
      <c r="F333" s="53">
        <v>1421.316</v>
      </c>
      <c r="G333" s="53">
        <v>710.65800000000002</v>
      </c>
      <c r="H333" s="53">
        <v>710.65800000000002</v>
      </c>
      <c r="I333" s="53">
        <v>1421.316</v>
      </c>
      <c r="J333" s="53">
        <v>564.12350000000004</v>
      </c>
      <c r="K333" s="53">
        <v>1692.3705</v>
      </c>
      <c r="L333" s="53">
        <v>564.12350000000004</v>
      </c>
      <c r="M333" s="53">
        <v>564.12350000000004</v>
      </c>
      <c r="N333" s="3" t="s">
        <v>69</v>
      </c>
    </row>
    <row r="334" spans="1:14" x14ac:dyDescent="0.25">
      <c r="A334" s="51">
        <v>1.123</v>
      </c>
      <c r="B334" s="53">
        <v>9075.0722000000005</v>
      </c>
      <c r="C334" s="53">
        <v>711.29139999999995</v>
      </c>
      <c r="D334" s="53">
        <v>355.64569999999998</v>
      </c>
      <c r="E334" s="53">
        <v>355.64569999999998</v>
      </c>
      <c r="F334" s="53">
        <v>1422.5827999999999</v>
      </c>
      <c r="G334" s="53">
        <v>711.29139999999995</v>
      </c>
      <c r="H334" s="53">
        <v>711.29139999999995</v>
      </c>
      <c r="I334" s="53">
        <v>1422.5827999999999</v>
      </c>
      <c r="J334" s="53">
        <v>564.12350000000004</v>
      </c>
      <c r="K334" s="53">
        <v>1692.3705</v>
      </c>
      <c r="L334" s="53">
        <v>564.12350000000004</v>
      </c>
      <c r="M334" s="53">
        <v>564.12350000000004</v>
      </c>
      <c r="N334" s="3" t="s">
        <v>69</v>
      </c>
    </row>
    <row r="335" spans="1:14" x14ac:dyDescent="0.25">
      <c r="A335" s="51">
        <v>1.1240000000000001</v>
      </c>
      <c r="B335" s="53">
        <v>9080.1393000000007</v>
      </c>
      <c r="C335" s="53">
        <v>711.9248</v>
      </c>
      <c r="D335" s="53">
        <v>355.9624</v>
      </c>
      <c r="E335" s="53">
        <v>355.9624</v>
      </c>
      <c r="F335" s="53">
        <v>1423.8496</v>
      </c>
      <c r="G335" s="53">
        <v>711.9248</v>
      </c>
      <c r="H335" s="53">
        <v>711.9248</v>
      </c>
      <c r="I335" s="53">
        <v>1423.8496</v>
      </c>
      <c r="J335" s="53">
        <v>564.12350000000004</v>
      </c>
      <c r="K335" s="53">
        <v>1692.3705</v>
      </c>
      <c r="L335" s="53">
        <v>564.12350000000004</v>
      </c>
      <c r="M335" s="53">
        <v>564.12350000000004</v>
      </c>
      <c r="N335" s="3" t="s">
        <v>69</v>
      </c>
    </row>
    <row r="336" spans="1:14" x14ac:dyDescent="0.25">
      <c r="A336" s="51">
        <v>1.125</v>
      </c>
      <c r="B336" s="53">
        <v>9085.2063999999991</v>
      </c>
      <c r="C336" s="53">
        <v>712.55820000000006</v>
      </c>
      <c r="D336" s="53">
        <v>356.27910000000003</v>
      </c>
      <c r="E336" s="53">
        <v>356.27910000000003</v>
      </c>
      <c r="F336" s="53">
        <v>1425.1164000000001</v>
      </c>
      <c r="G336" s="53">
        <v>712.55820000000006</v>
      </c>
      <c r="H336" s="53">
        <v>712.55820000000006</v>
      </c>
      <c r="I336" s="53">
        <v>1425.1164000000001</v>
      </c>
      <c r="J336" s="53">
        <v>564.12350000000004</v>
      </c>
      <c r="K336" s="53">
        <v>1692.3705</v>
      </c>
      <c r="L336" s="53">
        <v>564.12350000000004</v>
      </c>
      <c r="M336" s="53">
        <v>564.12350000000004</v>
      </c>
      <c r="N336" s="3" t="s">
        <v>69</v>
      </c>
    </row>
    <row r="337" spans="1:14" x14ac:dyDescent="0.25">
      <c r="A337" s="51">
        <v>1.1259999999999999</v>
      </c>
      <c r="B337" s="53">
        <v>9090.2734999999993</v>
      </c>
      <c r="C337" s="53">
        <v>713.19159999999999</v>
      </c>
      <c r="D337" s="53">
        <v>356.5958</v>
      </c>
      <c r="E337" s="53">
        <v>356.5958</v>
      </c>
      <c r="F337" s="53">
        <v>1426.3831</v>
      </c>
      <c r="G337" s="53">
        <v>713.19159999999999</v>
      </c>
      <c r="H337" s="53">
        <v>713.19159999999999</v>
      </c>
      <c r="I337" s="53">
        <v>1426.3831</v>
      </c>
      <c r="J337" s="53">
        <v>564.12350000000004</v>
      </c>
      <c r="K337" s="53">
        <v>1692.3705</v>
      </c>
      <c r="L337" s="53">
        <v>564.12350000000004</v>
      </c>
      <c r="M337" s="53">
        <v>564.12350000000004</v>
      </c>
      <c r="N337" s="3" t="s">
        <v>69</v>
      </c>
    </row>
    <row r="338" spans="1:14" x14ac:dyDescent="0.25">
      <c r="A338" s="51">
        <v>1.127</v>
      </c>
      <c r="B338" s="53">
        <v>9095.3405999999995</v>
      </c>
      <c r="C338" s="53">
        <v>713.82489999999996</v>
      </c>
      <c r="D338" s="53">
        <v>356.91250000000002</v>
      </c>
      <c r="E338" s="53">
        <v>356.91250000000002</v>
      </c>
      <c r="F338" s="53">
        <v>1427.6498999999999</v>
      </c>
      <c r="G338" s="53">
        <v>713.82489999999996</v>
      </c>
      <c r="H338" s="53">
        <v>713.82489999999996</v>
      </c>
      <c r="I338" s="53">
        <v>1427.6498999999999</v>
      </c>
      <c r="J338" s="53">
        <v>564.12350000000004</v>
      </c>
      <c r="K338" s="53">
        <v>1692.3705</v>
      </c>
      <c r="L338" s="53">
        <v>564.12350000000004</v>
      </c>
      <c r="M338" s="53">
        <v>564.12350000000004</v>
      </c>
      <c r="N338" s="3" t="s">
        <v>69</v>
      </c>
    </row>
    <row r="339" spans="1:14" x14ac:dyDescent="0.25">
      <c r="A339" s="51">
        <v>1.1279999999999999</v>
      </c>
      <c r="B339" s="53">
        <v>9100.4076000000005</v>
      </c>
      <c r="C339" s="53">
        <v>714.45830000000001</v>
      </c>
      <c r="D339" s="53">
        <v>357.22919999999999</v>
      </c>
      <c r="E339" s="53">
        <v>357.22919999999999</v>
      </c>
      <c r="F339" s="53">
        <v>1428.9167</v>
      </c>
      <c r="G339" s="53">
        <v>714.45830000000001</v>
      </c>
      <c r="H339" s="53">
        <v>714.45830000000001</v>
      </c>
      <c r="I339" s="53">
        <v>1428.9167</v>
      </c>
      <c r="J339" s="53">
        <v>564.12350000000004</v>
      </c>
      <c r="K339" s="53">
        <v>1692.3705</v>
      </c>
      <c r="L339" s="53">
        <v>564.12350000000004</v>
      </c>
      <c r="M339" s="53">
        <v>564.12350000000004</v>
      </c>
      <c r="N339" s="3" t="s">
        <v>69</v>
      </c>
    </row>
    <row r="340" spans="1:14" x14ac:dyDescent="0.25">
      <c r="A340" s="51">
        <v>1.129</v>
      </c>
      <c r="B340" s="53">
        <v>9105.4747000000007</v>
      </c>
      <c r="C340" s="53">
        <v>715.09169999999995</v>
      </c>
      <c r="D340" s="53">
        <v>357.54590000000002</v>
      </c>
      <c r="E340" s="53">
        <v>357.54590000000002</v>
      </c>
      <c r="F340" s="53">
        <v>1430.1833999999999</v>
      </c>
      <c r="G340" s="53">
        <v>715.09169999999995</v>
      </c>
      <c r="H340" s="53">
        <v>715.09169999999995</v>
      </c>
      <c r="I340" s="53">
        <v>1430.1833999999999</v>
      </c>
      <c r="J340" s="53">
        <v>564.12350000000004</v>
      </c>
      <c r="K340" s="53">
        <v>1692.3705</v>
      </c>
      <c r="L340" s="53">
        <v>564.12350000000004</v>
      </c>
      <c r="M340" s="53">
        <v>564.12350000000004</v>
      </c>
      <c r="N340" s="3" t="s">
        <v>69</v>
      </c>
    </row>
    <row r="341" spans="1:14" x14ac:dyDescent="0.25">
      <c r="A341" s="51">
        <v>1.1299999999999999</v>
      </c>
      <c r="B341" s="53">
        <v>9110.5418000000009</v>
      </c>
      <c r="C341" s="53">
        <v>715.7251</v>
      </c>
      <c r="D341" s="53">
        <v>357.86259999999999</v>
      </c>
      <c r="E341" s="53">
        <v>357.86259999999999</v>
      </c>
      <c r="F341" s="53">
        <v>1431.4502</v>
      </c>
      <c r="G341" s="53">
        <v>715.7251</v>
      </c>
      <c r="H341" s="53">
        <v>715.7251</v>
      </c>
      <c r="I341" s="53">
        <v>1431.4502</v>
      </c>
      <c r="J341" s="53">
        <v>564.12350000000004</v>
      </c>
      <c r="K341" s="53">
        <v>1692.3705</v>
      </c>
      <c r="L341" s="53">
        <v>564.12350000000004</v>
      </c>
      <c r="M341" s="53">
        <v>564.12350000000004</v>
      </c>
      <c r="N341" s="3" t="s">
        <v>69</v>
      </c>
    </row>
    <row r="342" spans="1:14" x14ac:dyDescent="0.25">
      <c r="A342" s="51">
        <v>1.131</v>
      </c>
      <c r="B342" s="53">
        <v>9115.6088999999993</v>
      </c>
      <c r="C342" s="53">
        <v>716.35850000000005</v>
      </c>
      <c r="D342" s="53">
        <v>358.17919999999998</v>
      </c>
      <c r="E342" s="53">
        <v>358.17919999999998</v>
      </c>
      <c r="F342" s="53">
        <v>1432.7170000000001</v>
      </c>
      <c r="G342" s="53">
        <v>716.35850000000005</v>
      </c>
      <c r="H342" s="53">
        <v>716.35850000000005</v>
      </c>
      <c r="I342" s="53">
        <v>1432.7170000000001</v>
      </c>
      <c r="J342" s="53">
        <v>564.12350000000004</v>
      </c>
      <c r="K342" s="53">
        <v>1692.3705</v>
      </c>
      <c r="L342" s="53">
        <v>564.12350000000004</v>
      </c>
      <c r="M342" s="53">
        <v>564.12350000000004</v>
      </c>
      <c r="N342" s="3" t="s">
        <v>69</v>
      </c>
    </row>
    <row r="343" spans="1:14" x14ac:dyDescent="0.25">
      <c r="A343" s="51">
        <v>1.1319999999999999</v>
      </c>
      <c r="B343" s="53">
        <v>9120.6759999999995</v>
      </c>
      <c r="C343" s="53">
        <v>716.99189999999999</v>
      </c>
      <c r="D343" s="53">
        <v>358.49590000000001</v>
      </c>
      <c r="E343" s="53">
        <v>358.49590000000001</v>
      </c>
      <c r="F343" s="53">
        <v>1433.9837</v>
      </c>
      <c r="G343" s="53">
        <v>716.99189999999999</v>
      </c>
      <c r="H343" s="53">
        <v>716.99189999999999</v>
      </c>
      <c r="I343" s="53">
        <v>1433.9837</v>
      </c>
      <c r="J343" s="53">
        <v>564.12350000000004</v>
      </c>
      <c r="K343" s="53">
        <v>1692.3705</v>
      </c>
      <c r="L343" s="53">
        <v>564.12350000000004</v>
      </c>
      <c r="M343" s="53">
        <v>564.12350000000004</v>
      </c>
      <c r="N343" s="3" t="s">
        <v>69</v>
      </c>
    </row>
    <row r="344" spans="1:14" x14ac:dyDescent="0.25">
      <c r="A344" s="51">
        <v>1.133</v>
      </c>
      <c r="B344" s="53">
        <v>9125.7430000000004</v>
      </c>
      <c r="C344" s="53">
        <v>717.62530000000004</v>
      </c>
      <c r="D344" s="53">
        <v>358.81259999999997</v>
      </c>
      <c r="E344" s="53">
        <v>358.81259999999997</v>
      </c>
      <c r="F344" s="53">
        <v>1435.2505000000001</v>
      </c>
      <c r="G344" s="53">
        <v>717.62530000000004</v>
      </c>
      <c r="H344" s="53">
        <v>717.62530000000004</v>
      </c>
      <c r="I344" s="53">
        <v>1435.2505000000001</v>
      </c>
      <c r="J344" s="53">
        <v>564.12350000000004</v>
      </c>
      <c r="K344" s="53">
        <v>1692.3705</v>
      </c>
      <c r="L344" s="53">
        <v>564.12350000000004</v>
      </c>
      <c r="M344" s="53">
        <v>564.12350000000004</v>
      </c>
      <c r="N344" s="3" t="s">
        <v>69</v>
      </c>
    </row>
    <row r="345" spans="1:14" x14ac:dyDescent="0.25">
      <c r="A345" s="51">
        <v>1.1339999999999999</v>
      </c>
      <c r="B345" s="53">
        <v>9130.8101000000006</v>
      </c>
      <c r="C345" s="53">
        <v>718.2586</v>
      </c>
      <c r="D345" s="53">
        <v>359.1293</v>
      </c>
      <c r="E345" s="53">
        <v>359.1293</v>
      </c>
      <c r="F345" s="53">
        <v>1436.5173</v>
      </c>
      <c r="G345" s="53">
        <v>718.2586</v>
      </c>
      <c r="H345" s="53">
        <v>718.2586</v>
      </c>
      <c r="I345" s="53">
        <v>1436.5173</v>
      </c>
      <c r="J345" s="53">
        <v>564.12350000000004</v>
      </c>
      <c r="K345" s="53">
        <v>1692.3705</v>
      </c>
      <c r="L345" s="53">
        <v>564.12350000000004</v>
      </c>
      <c r="M345" s="53">
        <v>564.12350000000004</v>
      </c>
      <c r="N345" s="3" t="s">
        <v>69</v>
      </c>
    </row>
    <row r="346" spans="1:14" x14ac:dyDescent="0.25">
      <c r="A346" s="51">
        <v>1.135</v>
      </c>
      <c r="B346" s="53">
        <v>9135.8772000000008</v>
      </c>
      <c r="C346" s="53">
        <v>718.89200000000005</v>
      </c>
      <c r="D346" s="53">
        <v>359.44600000000003</v>
      </c>
      <c r="E346" s="53">
        <v>359.44600000000003</v>
      </c>
      <c r="F346" s="53">
        <v>1437.7841000000001</v>
      </c>
      <c r="G346" s="53">
        <v>718.89200000000005</v>
      </c>
      <c r="H346" s="53">
        <v>718.89200000000005</v>
      </c>
      <c r="I346" s="53">
        <v>1437.7841000000001</v>
      </c>
      <c r="J346" s="53">
        <v>564.12350000000004</v>
      </c>
      <c r="K346" s="53">
        <v>1692.3705</v>
      </c>
      <c r="L346" s="53">
        <v>564.12350000000004</v>
      </c>
      <c r="M346" s="53">
        <v>564.12350000000004</v>
      </c>
      <c r="N346" s="3" t="s">
        <v>69</v>
      </c>
    </row>
    <row r="347" spans="1:14" x14ac:dyDescent="0.25">
      <c r="A347" s="51">
        <v>1.1359999999999999</v>
      </c>
      <c r="B347" s="53">
        <v>9140.9442999999992</v>
      </c>
      <c r="C347" s="53">
        <v>719.52539999999999</v>
      </c>
      <c r="D347" s="53">
        <v>359.7627</v>
      </c>
      <c r="E347" s="53">
        <v>359.7627</v>
      </c>
      <c r="F347" s="53">
        <v>1439.0508</v>
      </c>
      <c r="G347" s="53">
        <v>719.52539999999999</v>
      </c>
      <c r="H347" s="53">
        <v>719.52539999999999</v>
      </c>
      <c r="I347" s="53">
        <v>1439.0508</v>
      </c>
      <c r="J347" s="53">
        <v>564.12350000000004</v>
      </c>
      <c r="K347" s="53">
        <v>1692.3705</v>
      </c>
      <c r="L347" s="53">
        <v>564.12350000000004</v>
      </c>
      <c r="M347" s="53">
        <v>564.12350000000004</v>
      </c>
      <c r="N347" s="3" t="s">
        <v>69</v>
      </c>
    </row>
    <row r="348" spans="1:14" x14ac:dyDescent="0.25">
      <c r="A348" s="51">
        <v>1.137</v>
      </c>
      <c r="B348" s="53">
        <v>9146.0113999999994</v>
      </c>
      <c r="C348" s="53">
        <v>720.15880000000004</v>
      </c>
      <c r="D348" s="53">
        <v>360.07940000000002</v>
      </c>
      <c r="E348" s="53">
        <v>360.07940000000002</v>
      </c>
      <c r="F348" s="53">
        <v>1440.3176000000001</v>
      </c>
      <c r="G348" s="53">
        <v>720.15880000000004</v>
      </c>
      <c r="H348" s="53">
        <v>720.15880000000004</v>
      </c>
      <c r="I348" s="53">
        <v>1440.3176000000001</v>
      </c>
      <c r="J348" s="53">
        <v>564.12350000000004</v>
      </c>
      <c r="K348" s="53">
        <v>1692.3705</v>
      </c>
      <c r="L348" s="53">
        <v>564.12350000000004</v>
      </c>
      <c r="M348" s="53">
        <v>564.12350000000004</v>
      </c>
      <c r="N348" s="3" t="s">
        <v>69</v>
      </c>
    </row>
    <row r="349" spans="1:14" x14ac:dyDescent="0.25">
      <c r="A349" s="51">
        <v>1.1379999999999999</v>
      </c>
      <c r="B349" s="53">
        <v>9151.0784000000003</v>
      </c>
      <c r="C349" s="53">
        <v>720.79219999999998</v>
      </c>
      <c r="D349" s="53">
        <v>360.39609999999999</v>
      </c>
      <c r="E349" s="53">
        <v>360.39609999999999</v>
      </c>
      <c r="F349" s="53">
        <v>1441.5844</v>
      </c>
      <c r="G349" s="53">
        <v>720.79219999999998</v>
      </c>
      <c r="H349" s="53">
        <v>720.79219999999998</v>
      </c>
      <c r="I349" s="53">
        <v>1441.5844</v>
      </c>
      <c r="J349" s="53">
        <v>564.12350000000004</v>
      </c>
      <c r="K349" s="53">
        <v>1692.3705</v>
      </c>
      <c r="L349" s="53">
        <v>564.12350000000004</v>
      </c>
      <c r="M349" s="53">
        <v>564.12350000000004</v>
      </c>
      <c r="N349" s="3" t="s">
        <v>69</v>
      </c>
    </row>
    <row r="350" spans="1:14" x14ac:dyDescent="0.25">
      <c r="A350" s="51">
        <v>1.139</v>
      </c>
      <c r="B350" s="53">
        <v>9156.1455000000005</v>
      </c>
      <c r="C350" s="53">
        <v>721.42560000000003</v>
      </c>
      <c r="D350" s="53">
        <v>360.71280000000002</v>
      </c>
      <c r="E350" s="53">
        <v>360.71280000000002</v>
      </c>
      <c r="F350" s="53">
        <v>1442.8511000000001</v>
      </c>
      <c r="G350" s="53">
        <v>721.42560000000003</v>
      </c>
      <c r="H350" s="53">
        <v>721.42560000000003</v>
      </c>
      <c r="I350" s="53">
        <v>1442.8511000000001</v>
      </c>
      <c r="J350" s="53">
        <v>564.12350000000004</v>
      </c>
      <c r="K350" s="53">
        <v>1692.3705</v>
      </c>
      <c r="L350" s="53">
        <v>564.12350000000004</v>
      </c>
      <c r="M350" s="53">
        <v>564.12350000000004</v>
      </c>
      <c r="N350" s="3" t="s">
        <v>69</v>
      </c>
    </row>
    <row r="351" spans="1:14" x14ac:dyDescent="0.25">
      <c r="A351" s="51">
        <v>1.1399999999999999</v>
      </c>
      <c r="B351" s="53">
        <v>9161.2126000000007</v>
      </c>
      <c r="C351" s="53">
        <v>722.05899999999997</v>
      </c>
      <c r="D351" s="53">
        <v>361.02949999999998</v>
      </c>
      <c r="E351" s="53">
        <v>361.02949999999998</v>
      </c>
      <c r="F351" s="53">
        <v>1444.1179</v>
      </c>
      <c r="G351" s="53">
        <v>722.05899999999997</v>
      </c>
      <c r="H351" s="53">
        <v>722.05899999999997</v>
      </c>
      <c r="I351" s="53">
        <v>1444.1179</v>
      </c>
      <c r="J351" s="53">
        <v>564.12350000000004</v>
      </c>
      <c r="K351" s="53">
        <v>1692.3705</v>
      </c>
      <c r="L351" s="53">
        <v>564.12350000000004</v>
      </c>
      <c r="M351" s="53">
        <v>564.12350000000004</v>
      </c>
      <c r="N351" s="3" t="s">
        <v>69</v>
      </c>
    </row>
    <row r="352" spans="1:14" x14ac:dyDescent="0.25">
      <c r="A352" s="51">
        <v>1.141</v>
      </c>
      <c r="B352" s="53">
        <v>9166.2796999999991</v>
      </c>
      <c r="C352" s="53">
        <v>722.69230000000005</v>
      </c>
      <c r="D352" s="53">
        <v>361.34620000000001</v>
      </c>
      <c r="E352" s="53">
        <v>361.34620000000001</v>
      </c>
      <c r="F352" s="53">
        <v>1445.3847000000001</v>
      </c>
      <c r="G352" s="53">
        <v>722.69230000000005</v>
      </c>
      <c r="H352" s="53">
        <v>722.69230000000005</v>
      </c>
      <c r="I352" s="53">
        <v>1445.3847000000001</v>
      </c>
      <c r="J352" s="53">
        <v>564.12350000000004</v>
      </c>
      <c r="K352" s="53">
        <v>1692.3705</v>
      </c>
      <c r="L352" s="53">
        <v>564.12350000000004</v>
      </c>
      <c r="M352" s="53">
        <v>564.12350000000004</v>
      </c>
      <c r="N352" s="3" t="s">
        <v>69</v>
      </c>
    </row>
    <row r="353" spans="1:14" x14ac:dyDescent="0.25">
      <c r="A353" s="51">
        <v>1.1419999999999999</v>
      </c>
      <c r="B353" s="53">
        <v>9171.3467999999993</v>
      </c>
      <c r="C353" s="53">
        <v>723.32569999999998</v>
      </c>
      <c r="D353" s="53">
        <v>361.66289999999998</v>
      </c>
      <c r="E353" s="53">
        <v>361.66289999999998</v>
      </c>
      <c r="F353" s="53">
        <v>1446.6514</v>
      </c>
      <c r="G353" s="53">
        <v>723.32569999999998</v>
      </c>
      <c r="H353" s="53">
        <v>723.32569999999998</v>
      </c>
      <c r="I353" s="53">
        <v>1446.6514</v>
      </c>
      <c r="J353" s="53">
        <v>564.12350000000004</v>
      </c>
      <c r="K353" s="53">
        <v>1692.3705</v>
      </c>
      <c r="L353" s="53">
        <v>564.12350000000004</v>
      </c>
      <c r="M353" s="53">
        <v>564.12350000000004</v>
      </c>
      <c r="N353" s="3" t="s">
        <v>69</v>
      </c>
    </row>
    <row r="354" spans="1:14" x14ac:dyDescent="0.25">
      <c r="A354" s="51">
        <v>1.143</v>
      </c>
      <c r="B354" s="53">
        <v>9176.4138000000003</v>
      </c>
      <c r="C354" s="53">
        <v>723.95910000000003</v>
      </c>
      <c r="D354" s="53">
        <v>361.9796</v>
      </c>
      <c r="E354" s="53">
        <v>361.9796</v>
      </c>
      <c r="F354" s="53">
        <v>1447.9182000000001</v>
      </c>
      <c r="G354" s="53">
        <v>723.95910000000003</v>
      </c>
      <c r="H354" s="53">
        <v>723.95910000000003</v>
      </c>
      <c r="I354" s="53">
        <v>1447.9182000000001</v>
      </c>
      <c r="J354" s="53">
        <v>564.12350000000004</v>
      </c>
      <c r="K354" s="53">
        <v>1692.3705</v>
      </c>
      <c r="L354" s="53">
        <v>564.12350000000004</v>
      </c>
      <c r="M354" s="53">
        <v>564.12350000000004</v>
      </c>
      <c r="N354" s="3" t="s">
        <v>69</v>
      </c>
    </row>
    <row r="355" spans="1:14" x14ac:dyDescent="0.25">
      <c r="A355" s="51">
        <v>1.1439999999999999</v>
      </c>
      <c r="B355" s="53">
        <v>9181.4809000000005</v>
      </c>
      <c r="C355" s="53">
        <v>724.59249999999997</v>
      </c>
      <c r="D355" s="53">
        <v>362.2962</v>
      </c>
      <c r="E355" s="53">
        <v>362.2962</v>
      </c>
      <c r="F355" s="53">
        <v>1449.1849999999999</v>
      </c>
      <c r="G355" s="53">
        <v>724.59249999999997</v>
      </c>
      <c r="H355" s="53">
        <v>724.59249999999997</v>
      </c>
      <c r="I355" s="53">
        <v>1449.1849999999999</v>
      </c>
      <c r="J355" s="53">
        <v>564.12350000000004</v>
      </c>
      <c r="K355" s="53">
        <v>1692.3705</v>
      </c>
      <c r="L355" s="53">
        <v>564.12350000000004</v>
      </c>
      <c r="M355" s="53">
        <v>564.12350000000004</v>
      </c>
      <c r="N355" s="3" t="s">
        <v>69</v>
      </c>
    </row>
    <row r="356" spans="1:14" x14ac:dyDescent="0.25">
      <c r="A356" s="51">
        <v>1.145</v>
      </c>
      <c r="B356" s="53">
        <v>9186.5480000000007</v>
      </c>
      <c r="C356" s="53">
        <v>725.22590000000002</v>
      </c>
      <c r="D356" s="53">
        <v>362.61290000000002</v>
      </c>
      <c r="E356" s="53">
        <v>362.61290000000002</v>
      </c>
      <c r="F356" s="53">
        <v>1450.4518</v>
      </c>
      <c r="G356" s="53">
        <v>725.22590000000002</v>
      </c>
      <c r="H356" s="53">
        <v>725.22590000000002</v>
      </c>
      <c r="I356" s="53">
        <v>1450.4518</v>
      </c>
      <c r="J356" s="53">
        <v>564.12350000000004</v>
      </c>
      <c r="K356" s="53">
        <v>1692.3705</v>
      </c>
      <c r="L356" s="53">
        <v>564.12350000000004</v>
      </c>
      <c r="M356" s="53">
        <v>564.12350000000004</v>
      </c>
      <c r="N356" s="3" t="s">
        <v>69</v>
      </c>
    </row>
    <row r="357" spans="1:14" x14ac:dyDescent="0.25">
      <c r="A357" s="51">
        <v>1.1459999999999999</v>
      </c>
      <c r="B357" s="53">
        <v>9191.6151000000009</v>
      </c>
      <c r="C357" s="53">
        <v>725.85929999999996</v>
      </c>
      <c r="D357" s="53">
        <v>362.92959999999999</v>
      </c>
      <c r="E357" s="53">
        <v>362.92959999999999</v>
      </c>
      <c r="F357" s="53">
        <v>1451.7184999999999</v>
      </c>
      <c r="G357" s="53">
        <v>725.85929999999996</v>
      </c>
      <c r="H357" s="53">
        <v>725.85929999999996</v>
      </c>
      <c r="I357" s="53">
        <v>1451.7184999999999</v>
      </c>
      <c r="J357" s="53">
        <v>564.12350000000004</v>
      </c>
      <c r="K357" s="53">
        <v>1692.3705</v>
      </c>
      <c r="L357" s="53">
        <v>564.12350000000004</v>
      </c>
      <c r="M357" s="53">
        <v>564.12350000000004</v>
      </c>
      <c r="N357" s="3" t="s">
        <v>69</v>
      </c>
    </row>
    <row r="358" spans="1:14" x14ac:dyDescent="0.25">
      <c r="A358" s="51">
        <v>1.147</v>
      </c>
      <c r="B358" s="53">
        <v>9196.6821999999993</v>
      </c>
      <c r="C358" s="53">
        <v>726.49260000000004</v>
      </c>
      <c r="D358" s="53">
        <v>363.24630000000002</v>
      </c>
      <c r="E358" s="53">
        <v>363.24630000000002</v>
      </c>
      <c r="F358" s="53">
        <v>1452.9853000000001</v>
      </c>
      <c r="G358" s="53">
        <v>726.49260000000004</v>
      </c>
      <c r="H358" s="53">
        <v>726.49260000000004</v>
      </c>
      <c r="I358" s="53">
        <v>1452.9853000000001</v>
      </c>
      <c r="J358" s="53">
        <v>564.12350000000004</v>
      </c>
      <c r="K358" s="53">
        <v>1692.3705</v>
      </c>
      <c r="L358" s="53">
        <v>564.12350000000004</v>
      </c>
      <c r="M358" s="53">
        <v>564.12350000000004</v>
      </c>
      <c r="N358" s="3" t="s">
        <v>69</v>
      </c>
    </row>
    <row r="359" spans="1:14" x14ac:dyDescent="0.25">
      <c r="A359" s="51">
        <v>1.1479999999999999</v>
      </c>
      <c r="B359" s="53">
        <v>9201.7492000000002</v>
      </c>
      <c r="C359" s="53">
        <v>727.12599999999998</v>
      </c>
      <c r="D359" s="53">
        <v>363.56299999999999</v>
      </c>
      <c r="E359" s="53">
        <v>363.56299999999999</v>
      </c>
      <c r="F359" s="53">
        <v>1454.2520999999999</v>
      </c>
      <c r="G359" s="53">
        <v>727.12599999999998</v>
      </c>
      <c r="H359" s="53">
        <v>727.12599999999998</v>
      </c>
      <c r="I359" s="53">
        <v>1454.2520999999999</v>
      </c>
      <c r="J359" s="53">
        <v>564.12350000000004</v>
      </c>
      <c r="K359" s="53">
        <v>1692.3705</v>
      </c>
      <c r="L359" s="53">
        <v>564.12350000000004</v>
      </c>
      <c r="M359" s="53">
        <v>564.12350000000004</v>
      </c>
      <c r="N359" s="3" t="s">
        <v>69</v>
      </c>
    </row>
    <row r="360" spans="1:14" x14ac:dyDescent="0.25">
      <c r="A360" s="51">
        <v>1.149</v>
      </c>
      <c r="B360" s="53">
        <v>9206.8163000000004</v>
      </c>
      <c r="C360" s="53">
        <v>727.75940000000003</v>
      </c>
      <c r="D360" s="53">
        <v>363.87970000000001</v>
      </c>
      <c r="E360" s="53">
        <v>363.87970000000001</v>
      </c>
      <c r="F360" s="53">
        <v>1455.5188000000001</v>
      </c>
      <c r="G360" s="53">
        <v>727.75940000000003</v>
      </c>
      <c r="H360" s="53">
        <v>727.75940000000003</v>
      </c>
      <c r="I360" s="53">
        <v>1455.5188000000001</v>
      </c>
      <c r="J360" s="53">
        <v>564.12350000000004</v>
      </c>
      <c r="K360" s="53">
        <v>1692.3705</v>
      </c>
      <c r="L360" s="53">
        <v>564.12350000000004</v>
      </c>
      <c r="M360" s="53">
        <v>564.12350000000004</v>
      </c>
      <c r="N360" s="3" t="s">
        <v>69</v>
      </c>
    </row>
    <row r="361" spans="1:14" x14ac:dyDescent="0.25">
      <c r="A361" s="51">
        <v>1.1499999999999999</v>
      </c>
      <c r="B361" s="53">
        <v>9211.8834000000006</v>
      </c>
      <c r="C361" s="53">
        <v>728.39279999999997</v>
      </c>
      <c r="D361" s="53">
        <v>364.19639999999998</v>
      </c>
      <c r="E361" s="53">
        <v>364.19639999999998</v>
      </c>
      <c r="F361" s="53">
        <v>1456.7855999999999</v>
      </c>
      <c r="G361" s="53">
        <v>728.39279999999997</v>
      </c>
      <c r="H361" s="53">
        <v>728.39279999999997</v>
      </c>
      <c r="I361" s="53">
        <v>1456.7855999999999</v>
      </c>
      <c r="J361" s="53">
        <v>564.12350000000004</v>
      </c>
      <c r="K361" s="53">
        <v>1692.3705</v>
      </c>
      <c r="L361" s="53">
        <v>564.12350000000004</v>
      </c>
      <c r="M361" s="53">
        <v>564.12350000000004</v>
      </c>
      <c r="N361" s="3" t="s">
        <v>69</v>
      </c>
    </row>
    <row r="362" spans="1:14" x14ac:dyDescent="0.25">
      <c r="A362" s="51">
        <v>1.151</v>
      </c>
      <c r="B362" s="53">
        <v>9216.9505000000008</v>
      </c>
      <c r="C362" s="53">
        <v>729.02620000000002</v>
      </c>
      <c r="D362" s="53">
        <v>364.51310000000001</v>
      </c>
      <c r="E362" s="53">
        <v>364.51310000000001</v>
      </c>
      <c r="F362" s="53">
        <v>1458.0524</v>
      </c>
      <c r="G362" s="53">
        <v>729.02620000000002</v>
      </c>
      <c r="H362" s="53">
        <v>729.02620000000002</v>
      </c>
      <c r="I362" s="53">
        <v>1458.0524</v>
      </c>
      <c r="J362" s="53">
        <v>564.12350000000004</v>
      </c>
      <c r="K362" s="53">
        <v>1692.3705</v>
      </c>
      <c r="L362" s="53">
        <v>564.12350000000004</v>
      </c>
      <c r="M362" s="53">
        <v>564.12350000000004</v>
      </c>
      <c r="N362" s="3" t="s">
        <v>69</v>
      </c>
    </row>
    <row r="363" spans="1:14" x14ac:dyDescent="0.25">
      <c r="A363" s="51">
        <v>1.1519999999999999</v>
      </c>
      <c r="B363" s="53">
        <v>9222.0175999999992</v>
      </c>
      <c r="C363" s="53">
        <v>729.65959999999995</v>
      </c>
      <c r="D363" s="53">
        <v>364.82979999999998</v>
      </c>
      <c r="E363" s="53">
        <v>364.82979999999998</v>
      </c>
      <c r="F363" s="53">
        <v>1459.3190999999999</v>
      </c>
      <c r="G363" s="53">
        <v>729.65959999999995</v>
      </c>
      <c r="H363" s="53">
        <v>729.65959999999995</v>
      </c>
      <c r="I363" s="53">
        <v>1459.3190999999999</v>
      </c>
      <c r="J363" s="53">
        <v>564.12350000000004</v>
      </c>
      <c r="K363" s="53">
        <v>1692.3705</v>
      </c>
      <c r="L363" s="53">
        <v>564.12350000000004</v>
      </c>
      <c r="M363" s="53">
        <v>564.12350000000004</v>
      </c>
      <c r="N363" s="3" t="s">
        <v>69</v>
      </c>
    </row>
    <row r="364" spans="1:14" x14ac:dyDescent="0.25">
      <c r="A364" s="51">
        <v>1.153</v>
      </c>
      <c r="B364" s="53">
        <v>9227.0846000000001</v>
      </c>
      <c r="C364" s="53">
        <v>730.29300000000001</v>
      </c>
      <c r="D364" s="53">
        <v>365.1465</v>
      </c>
      <c r="E364" s="53">
        <v>365.1465</v>
      </c>
      <c r="F364" s="53">
        <v>1460.5859</v>
      </c>
      <c r="G364" s="53">
        <v>730.29300000000001</v>
      </c>
      <c r="H364" s="53">
        <v>730.29300000000001</v>
      </c>
      <c r="I364" s="53">
        <v>1460.5859</v>
      </c>
      <c r="J364" s="53">
        <v>564.12350000000004</v>
      </c>
      <c r="K364" s="53">
        <v>1692.3705</v>
      </c>
      <c r="L364" s="53">
        <v>564.12350000000004</v>
      </c>
      <c r="M364" s="53">
        <v>564.12350000000004</v>
      </c>
      <c r="N364" s="3" t="s">
        <v>69</v>
      </c>
    </row>
    <row r="365" spans="1:14" x14ac:dyDescent="0.25">
      <c r="A365" s="51">
        <v>1.1539999999999999</v>
      </c>
      <c r="B365" s="53">
        <v>9232.1517000000003</v>
      </c>
      <c r="C365" s="53">
        <v>730.92629999999997</v>
      </c>
      <c r="D365" s="53">
        <v>365.46319999999997</v>
      </c>
      <c r="E365" s="53">
        <v>365.46319999999997</v>
      </c>
      <c r="F365" s="53">
        <v>1461.8526999999999</v>
      </c>
      <c r="G365" s="53">
        <v>730.92629999999997</v>
      </c>
      <c r="H365" s="53">
        <v>730.92629999999997</v>
      </c>
      <c r="I365" s="53">
        <v>1461.8526999999999</v>
      </c>
      <c r="J365" s="53">
        <v>564.12350000000004</v>
      </c>
      <c r="K365" s="53">
        <v>1692.3705</v>
      </c>
      <c r="L365" s="53">
        <v>564.12350000000004</v>
      </c>
      <c r="M365" s="53">
        <v>564.12350000000004</v>
      </c>
      <c r="N365" s="3" t="s">
        <v>69</v>
      </c>
    </row>
    <row r="366" spans="1:14" x14ac:dyDescent="0.25">
      <c r="A366" s="51">
        <v>1.155</v>
      </c>
      <c r="B366" s="53">
        <v>9237.2188000000006</v>
      </c>
      <c r="C366" s="53">
        <v>731.55970000000002</v>
      </c>
      <c r="D366" s="53">
        <v>365.7799</v>
      </c>
      <c r="E366" s="53">
        <v>365.7799</v>
      </c>
      <c r="F366" s="53">
        <v>1463.1195</v>
      </c>
      <c r="G366" s="53">
        <v>731.55970000000002</v>
      </c>
      <c r="H366" s="53">
        <v>731.55970000000002</v>
      </c>
      <c r="I366" s="53">
        <v>1463.1195</v>
      </c>
      <c r="J366" s="53">
        <v>564.12350000000004</v>
      </c>
      <c r="K366" s="53">
        <v>1692.3705</v>
      </c>
      <c r="L366" s="53">
        <v>564.12350000000004</v>
      </c>
      <c r="M366" s="53">
        <v>564.12350000000004</v>
      </c>
      <c r="N366" s="3" t="s">
        <v>69</v>
      </c>
    </row>
    <row r="367" spans="1:14" x14ac:dyDescent="0.25">
      <c r="A367" s="51">
        <v>1.1559999999999999</v>
      </c>
      <c r="B367" s="53">
        <v>9242.2859000000008</v>
      </c>
      <c r="C367" s="53">
        <v>732.19309999999996</v>
      </c>
      <c r="D367" s="53">
        <v>366.09660000000002</v>
      </c>
      <c r="E367" s="53">
        <v>366.09660000000002</v>
      </c>
      <c r="F367" s="53">
        <v>1464.3861999999999</v>
      </c>
      <c r="G367" s="53">
        <v>732.19309999999996</v>
      </c>
      <c r="H367" s="53">
        <v>732.19309999999996</v>
      </c>
      <c r="I367" s="53">
        <v>1464.3861999999999</v>
      </c>
      <c r="J367" s="53">
        <v>564.12350000000004</v>
      </c>
      <c r="K367" s="53">
        <v>1692.3705</v>
      </c>
      <c r="L367" s="53">
        <v>564.12350000000004</v>
      </c>
      <c r="M367" s="53">
        <v>564.12350000000004</v>
      </c>
      <c r="N367" s="3" t="s">
        <v>69</v>
      </c>
    </row>
    <row r="368" spans="1:14" x14ac:dyDescent="0.25">
      <c r="A368" s="51">
        <v>1.157</v>
      </c>
      <c r="B368" s="53">
        <v>9247.3529999999992</v>
      </c>
      <c r="C368" s="53">
        <v>732.82650000000001</v>
      </c>
      <c r="D368" s="53">
        <v>366.41320000000002</v>
      </c>
      <c r="E368" s="53">
        <v>366.41320000000002</v>
      </c>
      <c r="F368" s="53">
        <v>1465.653</v>
      </c>
      <c r="G368" s="53">
        <v>732.82650000000001</v>
      </c>
      <c r="H368" s="53">
        <v>732.82650000000001</v>
      </c>
      <c r="I368" s="53">
        <v>1465.653</v>
      </c>
      <c r="J368" s="53">
        <v>564.12350000000004</v>
      </c>
      <c r="K368" s="53">
        <v>1692.3705</v>
      </c>
      <c r="L368" s="53">
        <v>564.12350000000004</v>
      </c>
      <c r="M368" s="53">
        <v>564.12350000000004</v>
      </c>
      <c r="N368" s="3" t="s">
        <v>69</v>
      </c>
    </row>
    <row r="369" spans="1:14" x14ac:dyDescent="0.25">
      <c r="A369" s="51">
        <v>1.1579999999999999</v>
      </c>
      <c r="B369" s="53">
        <v>9252.42</v>
      </c>
      <c r="C369" s="53">
        <v>733.45989999999995</v>
      </c>
      <c r="D369" s="53">
        <v>366.72989999999999</v>
      </c>
      <c r="E369" s="53">
        <v>366.72989999999999</v>
      </c>
      <c r="F369" s="53">
        <v>1466.9197999999999</v>
      </c>
      <c r="G369" s="53">
        <v>733.45989999999995</v>
      </c>
      <c r="H369" s="53">
        <v>733.45989999999995</v>
      </c>
      <c r="I369" s="53">
        <v>1466.9197999999999</v>
      </c>
      <c r="J369" s="53">
        <v>564.12350000000004</v>
      </c>
      <c r="K369" s="53">
        <v>1692.3705</v>
      </c>
      <c r="L369" s="53">
        <v>564.12350000000004</v>
      </c>
      <c r="M369" s="53">
        <v>564.12350000000004</v>
      </c>
      <c r="N369" s="3" t="s">
        <v>69</v>
      </c>
    </row>
    <row r="370" spans="1:14" x14ac:dyDescent="0.25">
      <c r="A370" s="51">
        <v>1.159</v>
      </c>
      <c r="B370" s="53">
        <v>9257.4871000000003</v>
      </c>
      <c r="C370" s="53">
        <v>734.0933</v>
      </c>
      <c r="D370" s="53">
        <v>367.04660000000001</v>
      </c>
      <c r="E370" s="53">
        <v>367.04660000000001</v>
      </c>
      <c r="F370" s="53">
        <v>1468.1865</v>
      </c>
      <c r="G370" s="53">
        <v>734.0933</v>
      </c>
      <c r="H370" s="53">
        <v>734.0933</v>
      </c>
      <c r="I370" s="53">
        <v>1468.1865</v>
      </c>
      <c r="J370" s="53">
        <v>564.12350000000004</v>
      </c>
      <c r="K370" s="53">
        <v>1692.3705</v>
      </c>
      <c r="L370" s="53">
        <v>564.12350000000004</v>
      </c>
      <c r="M370" s="53">
        <v>564.12350000000004</v>
      </c>
      <c r="N370" s="3" t="s">
        <v>69</v>
      </c>
    </row>
    <row r="371" spans="1:14" x14ac:dyDescent="0.25">
      <c r="A371" s="51">
        <v>1.1599999999999999</v>
      </c>
      <c r="B371" s="53">
        <v>9262.5542000000005</v>
      </c>
      <c r="C371" s="53">
        <v>734.72670000000005</v>
      </c>
      <c r="D371" s="53">
        <v>367.36329999999998</v>
      </c>
      <c r="E371" s="53">
        <v>367.36329999999998</v>
      </c>
      <c r="F371" s="53">
        <v>1469.4532999999999</v>
      </c>
      <c r="G371" s="53">
        <v>734.72670000000005</v>
      </c>
      <c r="H371" s="53">
        <v>734.72670000000005</v>
      </c>
      <c r="I371" s="53">
        <v>1469.4532999999999</v>
      </c>
      <c r="J371" s="53">
        <v>564.12350000000004</v>
      </c>
      <c r="K371" s="53">
        <v>1692.3705</v>
      </c>
      <c r="L371" s="53">
        <v>564.12350000000004</v>
      </c>
      <c r="M371" s="53">
        <v>564.12350000000004</v>
      </c>
      <c r="N371" s="3" t="s">
        <v>69</v>
      </c>
    </row>
    <row r="372" spans="1:14" x14ac:dyDescent="0.25">
      <c r="A372" s="51">
        <v>1.161</v>
      </c>
      <c r="B372" s="53">
        <v>9267.6213000000007</v>
      </c>
      <c r="C372" s="53">
        <v>735.36</v>
      </c>
      <c r="D372" s="53">
        <v>367.68</v>
      </c>
      <c r="E372" s="53">
        <v>367.68</v>
      </c>
      <c r="F372" s="53">
        <v>1470.7201</v>
      </c>
      <c r="G372" s="53">
        <v>735.36</v>
      </c>
      <c r="H372" s="53">
        <v>735.36</v>
      </c>
      <c r="I372" s="53">
        <v>1470.7201</v>
      </c>
      <c r="J372" s="53">
        <v>564.12350000000004</v>
      </c>
      <c r="K372" s="53">
        <v>1692.3705</v>
      </c>
      <c r="L372" s="53">
        <v>564.12350000000004</v>
      </c>
      <c r="M372" s="53">
        <v>564.12350000000004</v>
      </c>
      <c r="N372" s="3" t="s">
        <v>69</v>
      </c>
    </row>
    <row r="373" spans="1:14" x14ac:dyDescent="0.25">
      <c r="A373" s="51">
        <v>1.1619999999999999</v>
      </c>
      <c r="B373" s="53">
        <v>9272.6883999999991</v>
      </c>
      <c r="C373" s="53">
        <v>735.99339999999995</v>
      </c>
      <c r="D373" s="53">
        <v>367.99669999999998</v>
      </c>
      <c r="E373" s="53">
        <v>367.99669999999998</v>
      </c>
      <c r="F373" s="53">
        <v>1471.9867999999999</v>
      </c>
      <c r="G373" s="53">
        <v>735.99339999999995</v>
      </c>
      <c r="H373" s="53">
        <v>735.99339999999995</v>
      </c>
      <c r="I373" s="53">
        <v>1471.9867999999999</v>
      </c>
      <c r="J373" s="53">
        <v>564.12350000000004</v>
      </c>
      <c r="K373" s="53">
        <v>1692.3705</v>
      </c>
      <c r="L373" s="53">
        <v>564.12350000000004</v>
      </c>
      <c r="M373" s="53">
        <v>564.12350000000004</v>
      </c>
      <c r="N373" s="3" t="s">
        <v>69</v>
      </c>
    </row>
    <row r="374" spans="1:14" x14ac:dyDescent="0.25">
      <c r="A374" s="51">
        <v>1.163</v>
      </c>
      <c r="B374" s="53">
        <v>9277.7554999999993</v>
      </c>
      <c r="C374" s="53">
        <v>736.6268</v>
      </c>
      <c r="D374" s="53">
        <v>368.3134</v>
      </c>
      <c r="E374" s="53">
        <v>368.3134</v>
      </c>
      <c r="F374" s="53">
        <v>1473.2536</v>
      </c>
      <c r="G374" s="53">
        <v>736.6268</v>
      </c>
      <c r="H374" s="53">
        <v>736.6268</v>
      </c>
      <c r="I374" s="53">
        <v>1473.2536</v>
      </c>
      <c r="J374" s="53">
        <v>564.12350000000004</v>
      </c>
      <c r="K374" s="53">
        <v>1692.3705</v>
      </c>
      <c r="L374" s="53">
        <v>564.12350000000004</v>
      </c>
      <c r="M374" s="53">
        <v>564.12350000000004</v>
      </c>
      <c r="N374" s="3" t="s">
        <v>69</v>
      </c>
    </row>
    <row r="375" spans="1:14" x14ac:dyDescent="0.25">
      <c r="A375" s="51">
        <v>1.1639999999999999</v>
      </c>
      <c r="B375" s="53">
        <v>9282.8225000000002</v>
      </c>
      <c r="C375" s="53">
        <v>737.26020000000005</v>
      </c>
      <c r="D375" s="53">
        <v>368.63010000000003</v>
      </c>
      <c r="E375" s="53">
        <v>368.63010000000003</v>
      </c>
      <c r="F375" s="53">
        <v>1474.5204000000001</v>
      </c>
      <c r="G375" s="53">
        <v>737.26020000000005</v>
      </c>
      <c r="H375" s="53">
        <v>737.26020000000005</v>
      </c>
      <c r="I375" s="53">
        <v>1474.5204000000001</v>
      </c>
      <c r="J375" s="53">
        <v>564.12350000000004</v>
      </c>
      <c r="K375" s="53">
        <v>1692.3705</v>
      </c>
      <c r="L375" s="53">
        <v>564.12350000000004</v>
      </c>
      <c r="M375" s="53">
        <v>564.12350000000004</v>
      </c>
      <c r="N375" s="3" t="s">
        <v>69</v>
      </c>
    </row>
    <row r="376" spans="1:14" x14ac:dyDescent="0.25">
      <c r="A376" s="51">
        <v>1.165</v>
      </c>
      <c r="B376" s="53">
        <v>9287.8896000000004</v>
      </c>
      <c r="C376" s="53">
        <v>737.89359999999999</v>
      </c>
      <c r="D376" s="53">
        <v>368.9468</v>
      </c>
      <c r="E376" s="53">
        <v>368.9468</v>
      </c>
      <c r="F376" s="53">
        <v>1475.7872</v>
      </c>
      <c r="G376" s="53">
        <v>737.89359999999999</v>
      </c>
      <c r="H376" s="53">
        <v>737.89359999999999</v>
      </c>
      <c r="I376" s="53">
        <v>1475.7872</v>
      </c>
      <c r="J376" s="53">
        <v>564.12350000000004</v>
      </c>
      <c r="K376" s="53">
        <v>1692.3705</v>
      </c>
      <c r="L376" s="53">
        <v>564.12350000000004</v>
      </c>
      <c r="M376" s="53">
        <v>564.12350000000004</v>
      </c>
      <c r="N376" s="3" t="s">
        <v>69</v>
      </c>
    </row>
    <row r="377" spans="1:14" x14ac:dyDescent="0.25">
      <c r="A377" s="51">
        <v>1.1659999999999999</v>
      </c>
      <c r="B377" s="53">
        <v>9292.9567000000006</v>
      </c>
      <c r="C377" s="53">
        <v>738.52700000000004</v>
      </c>
      <c r="D377" s="53">
        <v>369.26350000000002</v>
      </c>
      <c r="E377" s="53">
        <v>369.26350000000002</v>
      </c>
      <c r="F377" s="53">
        <v>1477.0539000000001</v>
      </c>
      <c r="G377" s="53">
        <v>738.52700000000004</v>
      </c>
      <c r="H377" s="53">
        <v>738.52700000000004</v>
      </c>
      <c r="I377" s="53">
        <v>1477.0539000000001</v>
      </c>
      <c r="J377" s="53">
        <v>564.12350000000004</v>
      </c>
      <c r="K377" s="53">
        <v>1692.3705</v>
      </c>
      <c r="L377" s="53">
        <v>564.12350000000004</v>
      </c>
      <c r="M377" s="53">
        <v>564.12350000000004</v>
      </c>
      <c r="N377" s="3" t="s">
        <v>69</v>
      </c>
    </row>
    <row r="378" spans="1:14" x14ac:dyDescent="0.25">
      <c r="A378" s="51">
        <v>1.167</v>
      </c>
      <c r="B378" s="53">
        <v>9298.0238000000008</v>
      </c>
      <c r="C378" s="53">
        <v>739.16030000000001</v>
      </c>
      <c r="D378" s="53">
        <v>369.58019999999999</v>
      </c>
      <c r="E378" s="53">
        <v>369.58019999999999</v>
      </c>
      <c r="F378" s="53">
        <v>1478.3207</v>
      </c>
      <c r="G378" s="53">
        <v>739.16030000000001</v>
      </c>
      <c r="H378" s="53">
        <v>739.16030000000001</v>
      </c>
      <c r="I378" s="53">
        <v>1478.3207</v>
      </c>
      <c r="J378" s="53">
        <v>564.12350000000004</v>
      </c>
      <c r="K378" s="53">
        <v>1692.3705</v>
      </c>
      <c r="L378" s="53">
        <v>564.12350000000004</v>
      </c>
      <c r="M378" s="53">
        <v>564.12350000000004</v>
      </c>
      <c r="N378" s="3" t="s">
        <v>69</v>
      </c>
    </row>
    <row r="379" spans="1:14" x14ac:dyDescent="0.25">
      <c r="A379" s="51">
        <v>1.1679999999999999</v>
      </c>
      <c r="B379" s="53">
        <v>9303.0908999999992</v>
      </c>
      <c r="C379" s="53">
        <v>739.79369999999994</v>
      </c>
      <c r="D379" s="53">
        <v>369.89690000000002</v>
      </c>
      <c r="E379" s="53">
        <v>369.89690000000002</v>
      </c>
      <c r="F379" s="53">
        <v>1479.5875000000001</v>
      </c>
      <c r="G379" s="53">
        <v>739.79369999999994</v>
      </c>
      <c r="H379" s="53">
        <v>739.79369999999994</v>
      </c>
      <c r="I379" s="53">
        <v>1479.5875000000001</v>
      </c>
      <c r="J379" s="53">
        <v>564.12350000000004</v>
      </c>
      <c r="K379" s="53">
        <v>1692.3705</v>
      </c>
      <c r="L379" s="53">
        <v>564.12350000000004</v>
      </c>
      <c r="M379" s="53">
        <v>564.12350000000004</v>
      </c>
      <c r="N379" s="3" t="s">
        <v>69</v>
      </c>
    </row>
    <row r="380" spans="1:14" x14ac:dyDescent="0.25">
      <c r="A380" s="51">
        <v>1.169</v>
      </c>
      <c r="B380" s="53">
        <v>9308.1579000000002</v>
      </c>
      <c r="C380" s="53">
        <v>740.4271</v>
      </c>
      <c r="D380" s="53">
        <v>370.21359999999999</v>
      </c>
      <c r="E380" s="53">
        <v>370.21359999999999</v>
      </c>
      <c r="F380" s="53">
        <v>1480.8542</v>
      </c>
      <c r="G380" s="53">
        <v>740.4271</v>
      </c>
      <c r="H380" s="53">
        <v>740.4271</v>
      </c>
      <c r="I380" s="53">
        <v>1480.8542</v>
      </c>
      <c r="J380" s="53">
        <v>564.12350000000004</v>
      </c>
      <c r="K380" s="53">
        <v>1692.3705</v>
      </c>
      <c r="L380" s="53">
        <v>564.12350000000004</v>
      </c>
      <c r="M380" s="53">
        <v>564.12350000000004</v>
      </c>
      <c r="N380" s="3" t="s">
        <v>69</v>
      </c>
    </row>
    <row r="381" spans="1:14" x14ac:dyDescent="0.25">
      <c r="A381" s="51">
        <v>1.17</v>
      </c>
      <c r="B381" s="53">
        <v>9313.2250000000004</v>
      </c>
      <c r="C381" s="53">
        <v>741.06050000000005</v>
      </c>
      <c r="D381" s="53">
        <v>370.53030000000001</v>
      </c>
      <c r="E381" s="53">
        <v>370.53030000000001</v>
      </c>
      <c r="F381" s="53">
        <v>1482.1210000000001</v>
      </c>
      <c r="G381" s="53">
        <v>741.06050000000005</v>
      </c>
      <c r="H381" s="53">
        <v>741.06050000000005</v>
      </c>
      <c r="I381" s="53">
        <v>1482.1210000000001</v>
      </c>
      <c r="J381" s="53">
        <v>564.12350000000004</v>
      </c>
      <c r="K381" s="53">
        <v>1692.3705</v>
      </c>
      <c r="L381" s="53">
        <v>564.12350000000004</v>
      </c>
      <c r="M381" s="53">
        <v>564.12350000000004</v>
      </c>
      <c r="N381" s="3" t="s">
        <v>69</v>
      </c>
    </row>
    <row r="382" spans="1:14" x14ac:dyDescent="0.25">
      <c r="A382" s="51">
        <v>1.171</v>
      </c>
      <c r="B382" s="53">
        <v>9318.2921000000006</v>
      </c>
      <c r="C382" s="53">
        <v>741.69389999999999</v>
      </c>
      <c r="D382" s="53">
        <v>370.84690000000001</v>
      </c>
      <c r="E382" s="53">
        <v>370.84690000000001</v>
      </c>
      <c r="F382" s="53">
        <v>1483.3878</v>
      </c>
      <c r="G382" s="53">
        <v>741.69389999999999</v>
      </c>
      <c r="H382" s="53">
        <v>741.69389999999999</v>
      </c>
      <c r="I382" s="53">
        <v>1483.3878</v>
      </c>
      <c r="J382" s="53">
        <v>564.12350000000004</v>
      </c>
      <c r="K382" s="53">
        <v>1692.3705</v>
      </c>
      <c r="L382" s="53">
        <v>564.12350000000004</v>
      </c>
      <c r="M382" s="53">
        <v>564.12350000000004</v>
      </c>
      <c r="N382" s="3" t="s">
        <v>69</v>
      </c>
    </row>
    <row r="383" spans="1:14" x14ac:dyDescent="0.25">
      <c r="A383" s="51">
        <v>1.1719999999999999</v>
      </c>
      <c r="B383" s="53">
        <v>9323.3592000000008</v>
      </c>
      <c r="C383" s="53">
        <v>742.32730000000004</v>
      </c>
      <c r="D383" s="53">
        <v>371.16359999999997</v>
      </c>
      <c r="E383" s="53">
        <v>371.16359999999997</v>
      </c>
      <c r="F383" s="53">
        <v>1484.6545000000001</v>
      </c>
      <c r="G383" s="53">
        <v>742.32730000000004</v>
      </c>
      <c r="H383" s="53">
        <v>742.32730000000004</v>
      </c>
      <c r="I383" s="53">
        <v>1484.6545000000001</v>
      </c>
      <c r="J383" s="53">
        <v>564.12350000000004</v>
      </c>
      <c r="K383" s="53">
        <v>1692.3705</v>
      </c>
      <c r="L383" s="53">
        <v>564.12350000000004</v>
      </c>
      <c r="M383" s="53">
        <v>564.12350000000004</v>
      </c>
      <c r="N383" s="3" t="s">
        <v>69</v>
      </c>
    </row>
    <row r="384" spans="1:14" x14ac:dyDescent="0.25">
      <c r="A384" s="51">
        <v>1.173</v>
      </c>
      <c r="B384" s="53">
        <v>9328.4262999999992</v>
      </c>
      <c r="C384" s="53">
        <v>742.96069999999997</v>
      </c>
      <c r="D384" s="53">
        <v>371.4803</v>
      </c>
      <c r="E384" s="53">
        <v>371.4803</v>
      </c>
      <c r="F384" s="53">
        <v>1485.9213</v>
      </c>
      <c r="G384" s="53">
        <v>742.96069999999997</v>
      </c>
      <c r="H384" s="53">
        <v>742.96069999999997</v>
      </c>
      <c r="I384" s="53">
        <v>1485.9213</v>
      </c>
      <c r="J384" s="53">
        <v>564.12350000000004</v>
      </c>
      <c r="K384" s="53">
        <v>1692.3705</v>
      </c>
      <c r="L384" s="53">
        <v>564.12350000000004</v>
      </c>
      <c r="M384" s="53">
        <v>564.12350000000004</v>
      </c>
      <c r="N384" s="3" t="s">
        <v>69</v>
      </c>
    </row>
    <row r="385" spans="1:14" x14ac:dyDescent="0.25">
      <c r="A385" s="51">
        <v>1.1739999999999999</v>
      </c>
      <c r="B385" s="53">
        <v>9333.4933000000001</v>
      </c>
      <c r="C385" s="53">
        <v>743.59400000000005</v>
      </c>
      <c r="D385" s="53">
        <v>371.79700000000003</v>
      </c>
      <c r="E385" s="53">
        <v>371.79700000000003</v>
      </c>
      <c r="F385" s="53">
        <v>1487.1881000000001</v>
      </c>
      <c r="G385" s="53">
        <v>743.59400000000005</v>
      </c>
      <c r="H385" s="53">
        <v>743.59400000000005</v>
      </c>
      <c r="I385" s="53">
        <v>1487.1881000000001</v>
      </c>
      <c r="J385" s="53">
        <v>564.12350000000004</v>
      </c>
      <c r="K385" s="53">
        <v>1692.3705</v>
      </c>
      <c r="L385" s="53">
        <v>564.12350000000004</v>
      </c>
      <c r="M385" s="53">
        <v>564.12350000000004</v>
      </c>
      <c r="N385" s="3" t="s">
        <v>69</v>
      </c>
    </row>
    <row r="386" spans="1:14" x14ac:dyDescent="0.25">
      <c r="A386" s="51">
        <v>1.175</v>
      </c>
      <c r="B386" s="53">
        <v>9338.5604000000003</v>
      </c>
      <c r="C386" s="53">
        <v>744.22739999999999</v>
      </c>
      <c r="D386" s="53">
        <v>372.11369999999999</v>
      </c>
      <c r="E386" s="53">
        <v>372.11369999999999</v>
      </c>
      <c r="F386" s="53">
        <v>1488.4549</v>
      </c>
      <c r="G386" s="53">
        <v>744.22739999999999</v>
      </c>
      <c r="H386" s="53">
        <v>744.22739999999999</v>
      </c>
      <c r="I386" s="53">
        <v>1488.4549</v>
      </c>
      <c r="J386" s="53">
        <v>564.12350000000004</v>
      </c>
      <c r="K386" s="53">
        <v>1692.3705</v>
      </c>
      <c r="L386" s="53">
        <v>564.12350000000004</v>
      </c>
      <c r="M386" s="53">
        <v>564.12350000000004</v>
      </c>
      <c r="N386" s="3" t="s">
        <v>69</v>
      </c>
    </row>
    <row r="387" spans="1:14" x14ac:dyDescent="0.25">
      <c r="A387" s="51">
        <v>1.1759999999999999</v>
      </c>
      <c r="B387" s="53">
        <v>9343.6275000000005</v>
      </c>
      <c r="C387" s="53">
        <v>744.86080000000004</v>
      </c>
      <c r="D387" s="53">
        <v>372.43040000000002</v>
      </c>
      <c r="E387" s="53">
        <v>372.43040000000002</v>
      </c>
      <c r="F387" s="53">
        <v>1489.7216000000001</v>
      </c>
      <c r="G387" s="53">
        <v>744.86080000000004</v>
      </c>
      <c r="H387" s="53">
        <v>744.86080000000004</v>
      </c>
      <c r="I387" s="53">
        <v>1489.7216000000001</v>
      </c>
      <c r="J387" s="53">
        <v>564.12350000000004</v>
      </c>
      <c r="K387" s="53">
        <v>1692.3705</v>
      </c>
      <c r="L387" s="53">
        <v>564.12350000000004</v>
      </c>
      <c r="M387" s="53">
        <v>564.12350000000004</v>
      </c>
      <c r="N387" s="3" t="s">
        <v>69</v>
      </c>
    </row>
    <row r="388" spans="1:14" x14ac:dyDescent="0.25">
      <c r="A388" s="51">
        <v>1.177</v>
      </c>
      <c r="B388" s="53">
        <v>9348.6946000000007</v>
      </c>
      <c r="C388" s="53">
        <v>745.49419999999998</v>
      </c>
      <c r="D388" s="53">
        <v>372.74709999999999</v>
      </c>
      <c r="E388" s="53">
        <v>372.74709999999999</v>
      </c>
      <c r="F388" s="53">
        <v>1490.9884</v>
      </c>
      <c r="G388" s="53">
        <v>745.49419999999998</v>
      </c>
      <c r="H388" s="53">
        <v>745.49419999999998</v>
      </c>
      <c r="I388" s="53">
        <v>1490.9884</v>
      </c>
      <c r="J388" s="53">
        <v>564.12350000000004</v>
      </c>
      <c r="K388" s="53">
        <v>1692.3705</v>
      </c>
      <c r="L388" s="53">
        <v>564.12350000000004</v>
      </c>
      <c r="M388" s="53">
        <v>564.12350000000004</v>
      </c>
      <c r="N388" s="3" t="s">
        <v>69</v>
      </c>
    </row>
    <row r="389" spans="1:14" x14ac:dyDescent="0.25">
      <c r="A389" s="51">
        <v>1.1779999999999999</v>
      </c>
      <c r="B389" s="53">
        <v>9353.7616999999991</v>
      </c>
      <c r="C389" s="53">
        <v>746.12760000000003</v>
      </c>
      <c r="D389" s="53">
        <v>373.06380000000001</v>
      </c>
      <c r="E389" s="53">
        <v>373.06380000000001</v>
      </c>
      <c r="F389" s="53">
        <v>1492.2552000000001</v>
      </c>
      <c r="G389" s="53">
        <v>746.12760000000003</v>
      </c>
      <c r="H389" s="53">
        <v>746.12760000000003</v>
      </c>
      <c r="I389" s="53">
        <v>1492.2552000000001</v>
      </c>
      <c r="J389" s="53">
        <v>564.12350000000004</v>
      </c>
      <c r="K389" s="53">
        <v>1692.3705</v>
      </c>
      <c r="L389" s="53">
        <v>564.12350000000004</v>
      </c>
      <c r="M389" s="53">
        <v>564.12350000000004</v>
      </c>
      <c r="N389" s="3" t="s">
        <v>69</v>
      </c>
    </row>
    <row r="390" spans="1:14" x14ac:dyDescent="0.25">
      <c r="A390" s="51">
        <v>1.179</v>
      </c>
      <c r="B390" s="53">
        <v>9358.8287</v>
      </c>
      <c r="C390" s="53">
        <v>746.76099999999997</v>
      </c>
      <c r="D390" s="53">
        <v>373.38049999999998</v>
      </c>
      <c r="E390" s="53">
        <v>373.38049999999998</v>
      </c>
      <c r="F390" s="53">
        <v>1493.5219</v>
      </c>
      <c r="G390" s="53">
        <v>746.76099999999997</v>
      </c>
      <c r="H390" s="53">
        <v>746.76099999999997</v>
      </c>
      <c r="I390" s="53">
        <v>1493.5219</v>
      </c>
      <c r="J390" s="53">
        <v>564.12350000000004</v>
      </c>
      <c r="K390" s="53">
        <v>1692.3705</v>
      </c>
      <c r="L390" s="53">
        <v>564.12350000000004</v>
      </c>
      <c r="M390" s="53">
        <v>564.12350000000004</v>
      </c>
      <c r="N390" s="3" t="s">
        <v>69</v>
      </c>
    </row>
    <row r="391" spans="1:14" x14ac:dyDescent="0.25">
      <c r="A391" s="51">
        <v>1.18</v>
      </c>
      <c r="B391" s="53">
        <v>9363.8958000000002</v>
      </c>
      <c r="C391" s="53">
        <v>747.39440000000002</v>
      </c>
      <c r="D391" s="53">
        <v>373.69720000000001</v>
      </c>
      <c r="E391" s="53">
        <v>373.69720000000001</v>
      </c>
      <c r="F391" s="53">
        <v>1494.7887000000001</v>
      </c>
      <c r="G391" s="53">
        <v>747.39440000000002</v>
      </c>
      <c r="H391" s="53">
        <v>747.39440000000002</v>
      </c>
      <c r="I391" s="53">
        <v>1494.7887000000001</v>
      </c>
      <c r="J391" s="53">
        <v>564.12350000000004</v>
      </c>
      <c r="K391" s="53">
        <v>1692.3705</v>
      </c>
      <c r="L391" s="53">
        <v>564.12350000000004</v>
      </c>
      <c r="M391" s="53">
        <v>564.12350000000004</v>
      </c>
      <c r="N391" s="3" t="s">
        <v>69</v>
      </c>
    </row>
    <row r="392" spans="1:14" x14ac:dyDescent="0.25">
      <c r="A392" s="51">
        <v>1.181</v>
      </c>
      <c r="B392" s="53">
        <v>9368.9629000000004</v>
      </c>
      <c r="C392" s="53">
        <v>748.02769999999998</v>
      </c>
      <c r="D392" s="53">
        <v>374.01389999999998</v>
      </c>
      <c r="E392" s="53">
        <v>374.01389999999998</v>
      </c>
      <c r="F392" s="53">
        <v>1496.0554999999999</v>
      </c>
      <c r="G392" s="53">
        <v>748.02769999999998</v>
      </c>
      <c r="H392" s="53">
        <v>748.02769999999998</v>
      </c>
      <c r="I392" s="53">
        <v>1496.0554999999999</v>
      </c>
      <c r="J392" s="53">
        <v>564.12350000000004</v>
      </c>
      <c r="K392" s="53">
        <v>1692.3705</v>
      </c>
      <c r="L392" s="53">
        <v>564.12350000000004</v>
      </c>
      <c r="M392" s="53">
        <v>564.12350000000004</v>
      </c>
      <c r="N392" s="3" t="s">
        <v>69</v>
      </c>
    </row>
    <row r="393" spans="1:14" x14ac:dyDescent="0.25">
      <c r="A393" s="51">
        <v>1.1819999999999999</v>
      </c>
      <c r="B393" s="53">
        <v>9374.0300000000007</v>
      </c>
      <c r="C393" s="53">
        <v>748.66110000000003</v>
      </c>
      <c r="D393" s="53">
        <v>374.3306</v>
      </c>
      <c r="E393" s="53">
        <v>374.3306</v>
      </c>
      <c r="F393" s="53">
        <v>1497.3222000000001</v>
      </c>
      <c r="G393" s="53">
        <v>748.66110000000003</v>
      </c>
      <c r="H393" s="53">
        <v>748.66110000000003</v>
      </c>
      <c r="I393" s="53">
        <v>1497.3222000000001</v>
      </c>
      <c r="J393" s="53">
        <v>564.12350000000004</v>
      </c>
      <c r="K393" s="53">
        <v>1692.3705</v>
      </c>
      <c r="L393" s="53">
        <v>564.12350000000004</v>
      </c>
      <c r="M393" s="53">
        <v>564.12350000000004</v>
      </c>
      <c r="N393" s="3" t="s">
        <v>69</v>
      </c>
    </row>
    <row r="394" spans="1:14" x14ac:dyDescent="0.25">
      <c r="A394" s="51">
        <v>1.1830000000000001</v>
      </c>
      <c r="B394" s="53">
        <v>9379.0971000000009</v>
      </c>
      <c r="C394" s="53">
        <v>749.29449999999997</v>
      </c>
      <c r="D394" s="53">
        <v>374.64729999999997</v>
      </c>
      <c r="E394" s="53">
        <v>374.64729999999997</v>
      </c>
      <c r="F394" s="53">
        <v>1498.5889999999999</v>
      </c>
      <c r="G394" s="53">
        <v>749.29449999999997</v>
      </c>
      <c r="H394" s="53">
        <v>749.29449999999997</v>
      </c>
      <c r="I394" s="53">
        <v>1498.5889999999999</v>
      </c>
      <c r="J394" s="53">
        <v>564.12350000000004</v>
      </c>
      <c r="K394" s="53">
        <v>1692.3705</v>
      </c>
      <c r="L394" s="53">
        <v>564.12350000000004</v>
      </c>
      <c r="M394" s="53">
        <v>564.12350000000004</v>
      </c>
      <c r="N394" s="3" t="s">
        <v>69</v>
      </c>
    </row>
    <row r="395" spans="1:14" x14ac:dyDescent="0.25">
      <c r="A395" s="51">
        <v>1.1839999999999999</v>
      </c>
      <c r="B395" s="53">
        <v>9384.1641</v>
      </c>
      <c r="C395" s="53">
        <v>749.92790000000002</v>
      </c>
      <c r="D395" s="53">
        <v>374.96390000000002</v>
      </c>
      <c r="E395" s="53">
        <v>374.96390000000002</v>
      </c>
      <c r="F395" s="53">
        <v>1499.8558</v>
      </c>
      <c r="G395" s="53">
        <v>749.92790000000002</v>
      </c>
      <c r="H395" s="53">
        <v>749.92790000000002</v>
      </c>
      <c r="I395" s="53">
        <v>1499.8558</v>
      </c>
      <c r="J395" s="53">
        <v>564.12350000000004</v>
      </c>
      <c r="K395" s="53">
        <v>1692.3705</v>
      </c>
      <c r="L395" s="53">
        <v>564.12350000000004</v>
      </c>
      <c r="M395" s="53">
        <v>564.12350000000004</v>
      </c>
      <c r="N395" s="3" t="s">
        <v>69</v>
      </c>
    </row>
    <row r="396" spans="1:14" x14ac:dyDescent="0.25">
      <c r="A396" s="51">
        <v>1.1850000000000001</v>
      </c>
      <c r="B396" s="53">
        <v>9389.2312000000002</v>
      </c>
      <c r="C396" s="53">
        <v>750.56129999999996</v>
      </c>
      <c r="D396" s="53">
        <v>375.28059999999999</v>
      </c>
      <c r="E396" s="53">
        <v>375.28059999999999</v>
      </c>
      <c r="F396" s="53">
        <v>1501.1225999999999</v>
      </c>
      <c r="G396" s="53">
        <v>750.56129999999996</v>
      </c>
      <c r="H396" s="53">
        <v>750.56129999999996</v>
      </c>
      <c r="I396" s="53">
        <v>1501.1225999999999</v>
      </c>
      <c r="J396" s="53">
        <v>564.12350000000004</v>
      </c>
      <c r="K396" s="53">
        <v>1692.3705</v>
      </c>
      <c r="L396" s="53">
        <v>564.12350000000004</v>
      </c>
      <c r="M396" s="53">
        <v>564.12350000000004</v>
      </c>
      <c r="N396" s="3" t="s">
        <v>69</v>
      </c>
    </row>
    <row r="397" spans="1:14" x14ac:dyDescent="0.25">
      <c r="A397" s="51">
        <v>1.1859999999999999</v>
      </c>
      <c r="B397" s="53">
        <v>9394.2983000000004</v>
      </c>
      <c r="C397" s="53">
        <v>751.19470000000001</v>
      </c>
      <c r="D397" s="53">
        <v>375.59730000000002</v>
      </c>
      <c r="E397" s="53">
        <v>375.59730000000002</v>
      </c>
      <c r="F397" s="53">
        <v>1502.3893</v>
      </c>
      <c r="G397" s="53">
        <v>751.19470000000001</v>
      </c>
      <c r="H397" s="53">
        <v>751.19470000000001</v>
      </c>
      <c r="I397" s="53">
        <v>1502.3893</v>
      </c>
      <c r="J397" s="53">
        <v>564.12350000000004</v>
      </c>
      <c r="K397" s="53">
        <v>1692.3705</v>
      </c>
      <c r="L397" s="53">
        <v>564.12350000000004</v>
      </c>
      <c r="M397" s="53">
        <v>564.12350000000004</v>
      </c>
      <c r="N397" s="3" t="s">
        <v>69</v>
      </c>
    </row>
    <row r="398" spans="1:14" x14ac:dyDescent="0.25">
      <c r="A398" s="51">
        <v>1.1870000000000001</v>
      </c>
      <c r="B398" s="53">
        <v>9399.3654000000006</v>
      </c>
      <c r="C398" s="53">
        <v>751.82799999999997</v>
      </c>
      <c r="D398" s="53">
        <v>375.91399999999999</v>
      </c>
      <c r="E398" s="53">
        <v>375.91399999999999</v>
      </c>
      <c r="F398" s="53">
        <v>1503.6560999999999</v>
      </c>
      <c r="G398" s="53">
        <v>751.82799999999997</v>
      </c>
      <c r="H398" s="53">
        <v>751.82799999999997</v>
      </c>
      <c r="I398" s="53">
        <v>1503.6560999999999</v>
      </c>
      <c r="J398" s="53">
        <v>564.12350000000004</v>
      </c>
      <c r="K398" s="53">
        <v>1692.3705</v>
      </c>
      <c r="L398" s="53">
        <v>564.12350000000004</v>
      </c>
      <c r="M398" s="53">
        <v>564.12350000000004</v>
      </c>
      <c r="N398" s="3" t="s">
        <v>69</v>
      </c>
    </row>
    <row r="399" spans="1:14" x14ac:dyDescent="0.25">
      <c r="A399" s="51">
        <v>1.1879999999999999</v>
      </c>
      <c r="B399" s="53">
        <v>9404.4325000000008</v>
      </c>
      <c r="C399" s="53">
        <v>752.46140000000003</v>
      </c>
      <c r="D399" s="53">
        <v>376.23070000000001</v>
      </c>
      <c r="E399" s="53">
        <v>376.23070000000001</v>
      </c>
      <c r="F399" s="53">
        <v>1504.9229</v>
      </c>
      <c r="G399" s="53">
        <v>752.46140000000003</v>
      </c>
      <c r="H399" s="53">
        <v>752.46140000000003</v>
      </c>
      <c r="I399" s="53">
        <v>1504.9229</v>
      </c>
      <c r="J399" s="53">
        <v>564.12350000000004</v>
      </c>
      <c r="K399" s="53">
        <v>1692.3705</v>
      </c>
      <c r="L399" s="53">
        <v>564.12350000000004</v>
      </c>
      <c r="M399" s="53">
        <v>564.12350000000004</v>
      </c>
      <c r="N399" s="3" t="s">
        <v>69</v>
      </c>
    </row>
    <row r="400" spans="1:14" x14ac:dyDescent="0.25">
      <c r="A400" s="51">
        <v>1.1890000000000001</v>
      </c>
      <c r="B400" s="53">
        <v>9409.4994999999999</v>
      </c>
      <c r="C400" s="53">
        <v>753.09479999999996</v>
      </c>
      <c r="D400" s="53">
        <v>376.54739999999998</v>
      </c>
      <c r="E400" s="53">
        <v>376.54739999999998</v>
      </c>
      <c r="F400" s="53">
        <v>1506.1895999999999</v>
      </c>
      <c r="G400" s="53">
        <v>753.09479999999996</v>
      </c>
      <c r="H400" s="53">
        <v>753.09479999999996</v>
      </c>
      <c r="I400" s="53">
        <v>1506.1895999999999</v>
      </c>
      <c r="J400" s="53">
        <v>564.12350000000004</v>
      </c>
      <c r="K400" s="53">
        <v>1692.3705</v>
      </c>
      <c r="L400" s="53">
        <v>564.12350000000004</v>
      </c>
      <c r="M400" s="53">
        <v>564.12350000000004</v>
      </c>
      <c r="N400" s="3" t="s">
        <v>69</v>
      </c>
    </row>
    <row r="401" spans="1:14" x14ac:dyDescent="0.25">
      <c r="A401" s="51">
        <v>1.19</v>
      </c>
      <c r="B401" s="53">
        <v>9414.5666000000001</v>
      </c>
      <c r="C401" s="53">
        <v>753.72820000000002</v>
      </c>
      <c r="D401" s="53">
        <v>376.86410000000001</v>
      </c>
      <c r="E401" s="53">
        <v>376.86410000000001</v>
      </c>
      <c r="F401" s="53">
        <v>1507.4564</v>
      </c>
      <c r="G401" s="53">
        <v>753.72820000000002</v>
      </c>
      <c r="H401" s="53">
        <v>753.72820000000002</v>
      </c>
      <c r="I401" s="53">
        <v>1507.4564</v>
      </c>
      <c r="J401" s="53">
        <v>564.12350000000004</v>
      </c>
      <c r="K401" s="53">
        <v>1692.3705</v>
      </c>
      <c r="L401" s="53">
        <v>564.12350000000004</v>
      </c>
      <c r="M401" s="53">
        <v>564.12350000000004</v>
      </c>
      <c r="N401" s="3" t="s">
        <v>69</v>
      </c>
    </row>
    <row r="402" spans="1:14" x14ac:dyDescent="0.25">
      <c r="A402" s="51">
        <v>1.1910000000000001</v>
      </c>
      <c r="B402" s="53">
        <v>9419.6337000000003</v>
      </c>
      <c r="C402" s="53">
        <v>754.36159999999995</v>
      </c>
      <c r="D402" s="53">
        <v>377.18079999999998</v>
      </c>
      <c r="E402" s="53">
        <v>377.18079999999998</v>
      </c>
      <c r="F402" s="53">
        <v>1508.7231999999999</v>
      </c>
      <c r="G402" s="53">
        <v>754.36159999999995</v>
      </c>
      <c r="H402" s="53">
        <v>754.36159999999995</v>
      </c>
      <c r="I402" s="53">
        <v>1508.7231999999999</v>
      </c>
      <c r="J402" s="53">
        <v>564.12350000000004</v>
      </c>
      <c r="K402" s="53">
        <v>1692.3705</v>
      </c>
      <c r="L402" s="53">
        <v>564.12350000000004</v>
      </c>
      <c r="M402" s="53">
        <v>564.12350000000004</v>
      </c>
      <c r="N402" s="3" t="s">
        <v>69</v>
      </c>
    </row>
    <row r="403" spans="1:14" x14ac:dyDescent="0.25">
      <c r="A403" s="51">
        <v>1.1919999999999999</v>
      </c>
      <c r="B403" s="53">
        <v>9424.7008000000005</v>
      </c>
      <c r="C403" s="53">
        <v>754.995</v>
      </c>
      <c r="D403" s="53">
        <v>377.4975</v>
      </c>
      <c r="E403" s="53">
        <v>377.4975</v>
      </c>
      <c r="F403" s="53">
        <v>1509.9899</v>
      </c>
      <c r="G403" s="53">
        <v>754.995</v>
      </c>
      <c r="H403" s="53">
        <v>754.995</v>
      </c>
      <c r="I403" s="53">
        <v>1509.9899</v>
      </c>
      <c r="J403" s="53">
        <v>564.12350000000004</v>
      </c>
      <c r="K403" s="53">
        <v>1692.3705</v>
      </c>
      <c r="L403" s="53">
        <v>564.12350000000004</v>
      </c>
      <c r="M403" s="53">
        <v>564.12350000000004</v>
      </c>
      <c r="N403" s="3" t="s">
        <v>69</v>
      </c>
    </row>
    <row r="404" spans="1:14" x14ac:dyDescent="0.25">
      <c r="A404" s="51">
        <v>1.1930000000000001</v>
      </c>
      <c r="B404" s="53">
        <v>9429.7679000000007</v>
      </c>
      <c r="C404" s="53">
        <v>755.62840000000006</v>
      </c>
      <c r="D404" s="53">
        <v>377.81420000000003</v>
      </c>
      <c r="E404" s="53">
        <v>377.81420000000003</v>
      </c>
      <c r="F404" s="53">
        <v>1511.2566999999999</v>
      </c>
      <c r="G404" s="53">
        <v>755.62840000000006</v>
      </c>
      <c r="H404" s="53">
        <v>755.62840000000006</v>
      </c>
      <c r="I404" s="53">
        <v>1511.2566999999999</v>
      </c>
      <c r="J404" s="53">
        <v>564.12350000000004</v>
      </c>
      <c r="K404" s="53">
        <v>1692.3705</v>
      </c>
      <c r="L404" s="53">
        <v>564.12350000000004</v>
      </c>
      <c r="M404" s="53">
        <v>564.12350000000004</v>
      </c>
      <c r="N404" s="3" t="s">
        <v>69</v>
      </c>
    </row>
    <row r="405" spans="1:14" x14ac:dyDescent="0.25">
      <c r="A405" s="51">
        <v>1.194</v>
      </c>
      <c r="B405" s="53">
        <v>9434.8348999999998</v>
      </c>
      <c r="C405" s="53">
        <v>756.26170000000002</v>
      </c>
      <c r="D405" s="53">
        <v>378.1309</v>
      </c>
      <c r="E405" s="53">
        <v>378.1309</v>
      </c>
      <c r="F405" s="53">
        <v>1512.5235</v>
      </c>
      <c r="G405" s="53">
        <v>756.26170000000002</v>
      </c>
      <c r="H405" s="53">
        <v>756.26170000000002</v>
      </c>
      <c r="I405" s="53">
        <v>1512.5235</v>
      </c>
      <c r="J405" s="53">
        <v>564.12350000000004</v>
      </c>
      <c r="K405" s="53">
        <v>1692.3705</v>
      </c>
      <c r="L405" s="53">
        <v>564.12350000000004</v>
      </c>
      <c r="M405" s="53">
        <v>564.12350000000004</v>
      </c>
      <c r="N405" s="3" t="s">
        <v>69</v>
      </c>
    </row>
    <row r="406" spans="1:14" x14ac:dyDescent="0.25">
      <c r="A406" s="51">
        <v>1.1950000000000001</v>
      </c>
      <c r="B406" s="53">
        <v>9439.902</v>
      </c>
      <c r="C406" s="53">
        <v>756.89509999999996</v>
      </c>
      <c r="D406" s="53">
        <v>378.44760000000002</v>
      </c>
      <c r="E406" s="53">
        <v>378.44760000000002</v>
      </c>
      <c r="F406" s="53">
        <v>1513.7902999999999</v>
      </c>
      <c r="G406" s="53">
        <v>756.89509999999996</v>
      </c>
      <c r="H406" s="53">
        <v>756.89509999999996</v>
      </c>
      <c r="I406" s="53">
        <v>1513.7902999999999</v>
      </c>
      <c r="J406" s="53">
        <v>564.12350000000004</v>
      </c>
      <c r="K406" s="53">
        <v>1692.3705</v>
      </c>
      <c r="L406" s="53">
        <v>564.12350000000004</v>
      </c>
      <c r="M406" s="53">
        <v>564.12350000000004</v>
      </c>
      <c r="N406" s="3" t="s">
        <v>69</v>
      </c>
    </row>
    <row r="407" spans="1:14" x14ac:dyDescent="0.25">
      <c r="A407" s="51">
        <v>1.196</v>
      </c>
      <c r="B407" s="53">
        <v>9444.9691000000003</v>
      </c>
      <c r="C407" s="53">
        <v>757.52850000000001</v>
      </c>
      <c r="D407" s="53">
        <v>378.76429999999999</v>
      </c>
      <c r="E407" s="53">
        <v>378.76429999999999</v>
      </c>
      <c r="F407" s="53">
        <v>1515.057</v>
      </c>
      <c r="G407" s="53">
        <v>757.52850000000001</v>
      </c>
      <c r="H407" s="53">
        <v>757.52850000000001</v>
      </c>
      <c r="I407" s="53">
        <v>1515.057</v>
      </c>
      <c r="J407" s="53">
        <v>564.12350000000004</v>
      </c>
      <c r="K407" s="53">
        <v>1692.3705</v>
      </c>
      <c r="L407" s="53">
        <v>564.12350000000004</v>
      </c>
      <c r="M407" s="53">
        <v>564.12350000000004</v>
      </c>
      <c r="N407" s="3" t="s">
        <v>69</v>
      </c>
    </row>
    <row r="408" spans="1:14" x14ac:dyDescent="0.25">
      <c r="A408" s="51">
        <v>1.1970000000000001</v>
      </c>
      <c r="B408" s="53">
        <v>9450.0362000000005</v>
      </c>
      <c r="C408" s="53">
        <v>758.16189999999995</v>
      </c>
      <c r="D408" s="53">
        <v>379.08089999999999</v>
      </c>
      <c r="E408" s="53">
        <v>379.08089999999999</v>
      </c>
      <c r="F408" s="53">
        <v>1516.3237999999999</v>
      </c>
      <c r="G408" s="53">
        <v>758.16189999999995</v>
      </c>
      <c r="H408" s="53">
        <v>758.16189999999995</v>
      </c>
      <c r="I408" s="53">
        <v>1516.3237999999999</v>
      </c>
      <c r="J408" s="53">
        <v>564.12350000000004</v>
      </c>
      <c r="K408" s="53">
        <v>1692.3705</v>
      </c>
      <c r="L408" s="53">
        <v>564.12350000000004</v>
      </c>
      <c r="M408" s="53">
        <v>564.12350000000004</v>
      </c>
      <c r="N408" s="3" t="s">
        <v>69</v>
      </c>
    </row>
    <row r="409" spans="1:14" x14ac:dyDescent="0.25">
      <c r="A409" s="51">
        <v>1.198</v>
      </c>
      <c r="B409" s="53">
        <v>9455.1033000000007</v>
      </c>
      <c r="C409" s="53">
        <v>758.7953</v>
      </c>
      <c r="D409" s="53">
        <v>379.39760000000001</v>
      </c>
      <c r="E409" s="53">
        <v>379.39760000000001</v>
      </c>
      <c r="F409" s="53">
        <v>1517.5906</v>
      </c>
      <c r="G409" s="53">
        <v>758.7953</v>
      </c>
      <c r="H409" s="53">
        <v>758.7953</v>
      </c>
      <c r="I409" s="53">
        <v>1517.5906</v>
      </c>
      <c r="J409" s="53">
        <v>564.12350000000004</v>
      </c>
      <c r="K409" s="53">
        <v>1692.3705</v>
      </c>
      <c r="L409" s="53">
        <v>564.12350000000004</v>
      </c>
      <c r="M409" s="53">
        <v>564.12350000000004</v>
      </c>
      <c r="N409" s="3" t="s">
        <v>69</v>
      </c>
    </row>
    <row r="410" spans="1:14" x14ac:dyDescent="0.25">
      <c r="A410" s="51">
        <v>1.1990000000000001</v>
      </c>
      <c r="B410" s="53">
        <v>9460.1702999999998</v>
      </c>
      <c r="C410" s="53">
        <v>759.42870000000005</v>
      </c>
      <c r="D410" s="53">
        <v>379.71429999999998</v>
      </c>
      <c r="E410" s="53">
        <v>379.71429999999998</v>
      </c>
      <c r="F410" s="53">
        <v>1518.8572999999999</v>
      </c>
      <c r="G410" s="53">
        <v>759.42870000000005</v>
      </c>
      <c r="H410" s="53">
        <v>759.42870000000005</v>
      </c>
      <c r="I410" s="53">
        <v>1518.8572999999999</v>
      </c>
      <c r="J410" s="53">
        <v>564.12350000000004</v>
      </c>
      <c r="K410" s="53">
        <v>1692.3705</v>
      </c>
      <c r="L410" s="53">
        <v>564.12350000000004</v>
      </c>
      <c r="M410" s="53">
        <v>564.12350000000004</v>
      </c>
      <c r="N410" s="3" t="s">
        <v>69</v>
      </c>
    </row>
    <row r="411" spans="1:14" x14ac:dyDescent="0.25">
      <c r="A411" s="51">
        <v>1.2</v>
      </c>
      <c r="B411" s="53">
        <v>10728.1098</v>
      </c>
      <c r="C411" s="53">
        <v>917.92110000000002</v>
      </c>
      <c r="D411" s="53">
        <v>458.96050000000002</v>
      </c>
      <c r="E411" s="53">
        <v>458.96050000000002</v>
      </c>
      <c r="F411" s="53">
        <v>1835.8422</v>
      </c>
      <c r="G411" s="53">
        <v>917.92110000000002</v>
      </c>
      <c r="H411" s="53">
        <v>917.92110000000002</v>
      </c>
      <c r="I411" s="53">
        <v>1835.8422</v>
      </c>
      <c r="J411" s="53">
        <v>564.12350000000004</v>
      </c>
      <c r="K411" s="53">
        <v>1692.3705</v>
      </c>
      <c r="L411" s="53">
        <v>564.12350000000004</v>
      </c>
      <c r="M411" s="53">
        <v>564.12350000000004</v>
      </c>
      <c r="N411" s="3" t="s">
        <v>69</v>
      </c>
    </row>
    <row r="412" spans="1:14" x14ac:dyDescent="0.25">
      <c r="A412" s="51">
        <v>1.2010000000000001</v>
      </c>
      <c r="B412" s="53">
        <v>10734.2292</v>
      </c>
      <c r="C412" s="53">
        <v>918.68600000000004</v>
      </c>
      <c r="D412" s="53">
        <v>459.34300000000002</v>
      </c>
      <c r="E412" s="53">
        <v>459.34300000000002</v>
      </c>
      <c r="F412" s="53">
        <v>1837.3721</v>
      </c>
      <c r="G412" s="53">
        <v>918.68600000000004</v>
      </c>
      <c r="H412" s="53">
        <v>918.68600000000004</v>
      </c>
      <c r="I412" s="53">
        <v>1837.3721</v>
      </c>
      <c r="J412" s="53">
        <v>564.12350000000004</v>
      </c>
      <c r="K412" s="53">
        <v>1692.3705</v>
      </c>
      <c r="L412" s="53">
        <v>564.12350000000004</v>
      </c>
      <c r="M412" s="53">
        <v>564.12350000000004</v>
      </c>
      <c r="N412" s="3" t="s">
        <v>69</v>
      </c>
    </row>
    <row r="413" spans="1:14" x14ac:dyDescent="0.25">
      <c r="A413" s="51">
        <v>1.202</v>
      </c>
      <c r="B413" s="53">
        <v>10740.3487</v>
      </c>
      <c r="C413" s="53">
        <v>919.45100000000002</v>
      </c>
      <c r="D413" s="53">
        <v>459.72550000000001</v>
      </c>
      <c r="E413" s="53">
        <v>459.72550000000001</v>
      </c>
      <c r="F413" s="53">
        <v>1838.9019000000001</v>
      </c>
      <c r="G413" s="53">
        <v>919.45100000000002</v>
      </c>
      <c r="H413" s="53">
        <v>919.45100000000002</v>
      </c>
      <c r="I413" s="53">
        <v>1838.9019000000001</v>
      </c>
      <c r="J413" s="53">
        <v>564.12350000000004</v>
      </c>
      <c r="K413" s="53">
        <v>1692.3705</v>
      </c>
      <c r="L413" s="53">
        <v>564.12350000000004</v>
      </c>
      <c r="M413" s="53">
        <v>564.12350000000004</v>
      </c>
      <c r="N413" s="3" t="s">
        <v>69</v>
      </c>
    </row>
    <row r="414" spans="1:14" x14ac:dyDescent="0.25">
      <c r="A414" s="51">
        <v>1.2030000000000001</v>
      </c>
      <c r="B414" s="53">
        <v>10746.468199999999</v>
      </c>
      <c r="C414" s="53">
        <v>920.21590000000003</v>
      </c>
      <c r="D414" s="53">
        <v>460.10789999999997</v>
      </c>
      <c r="E414" s="53">
        <v>460.10789999999997</v>
      </c>
      <c r="F414" s="53">
        <v>1840.4318000000001</v>
      </c>
      <c r="G414" s="53">
        <v>920.21590000000003</v>
      </c>
      <c r="H414" s="53">
        <v>920.21590000000003</v>
      </c>
      <c r="I414" s="53">
        <v>1840.4318000000001</v>
      </c>
      <c r="J414" s="53">
        <v>564.12350000000004</v>
      </c>
      <c r="K414" s="53">
        <v>1692.3705</v>
      </c>
      <c r="L414" s="53">
        <v>564.12350000000004</v>
      </c>
      <c r="M414" s="53">
        <v>564.12350000000004</v>
      </c>
      <c r="N414" s="3" t="s">
        <v>69</v>
      </c>
    </row>
    <row r="415" spans="1:14" x14ac:dyDescent="0.25">
      <c r="A415" s="51">
        <v>1.204</v>
      </c>
      <c r="B415" s="53">
        <v>10752.5877</v>
      </c>
      <c r="C415" s="53">
        <v>920.98080000000004</v>
      </c>
      <c r="D415" s="53">
        <v>460.49040000000002</v>
      </c>
      <c r="E415" s="53">
        <v>460.49040000000002</v>
      </c>
      <c r="F415" s="53">
        <v>1841.9617000000001</v>
      </c>
      <c r="G415" s="53">
        <v>920.98080000000004</v>
      </c>
      <c r="H415" s="53">
        <v>920.98080000000004</v>
      </c>
      <c r="I415" s="53">
        <v>1841.9617000000001</v>
      </c>
      <c r="J415" s="53">
        <v>564.12350000000004</v>
      </c>
      <c r="K415" s="53">
        <v>1692.3705</v>
      </c>
      <c r="L415" s="53">
        <v>564.12350000000004</v>
      </c>
      <c r="M415" s="53">
        <v>564.12350000000004</v>
      </c>
      <c r="N415" s="3" t="s">
        <v>69</v>
      </c>
    </row>
    <row r="416" spans="1:14" x14ac:dyDescent="0.25">
      <c r="A416" s="51">
        <v>1.2050000000000001</v>
      </c>
      <c r="B416" s="53">
        <v>10758.7071</v>
      </c>
      <c r="C416" s="53">
        <v>921.74580000000003</v>
      </c>
      <c r="D416" s="53">
        <v>460.87290000000002</v>
      </c>
      <c r="E416" s="53">
        <v>460.87290000000002</v>
      </c>
      <c r="F416" s="53">
        <v>1843.4915000000001</v>
      </c>
      <c r="G416" s="53">
        <v>921.74580000000003</v>
      </c>
      <c r="H416" s="53">
        <v>921.74580000000003</v>
      </c>
      <c r="I416" s="53">
        <v>1843.4915000000001</v>
      </c>
      <c r="J416" s="53">
        <v>564.12350000000004</v>
      </c>
      <c r="K416" s="53">
        <v>1692.3705</v>
      </c>
      <c r="L416" s="53">
        <v>564.12350000000004</v>
      </c>
      <c r="M416" s="53">
        <v>564.12350000000004</v>
      </c>
      <c r="N416" s="3" t="s">
        <v>69</v>
      </c>
    </row>
    <row r="417" spans="1:14" x14ac:dyDescent="0.25">
      <c r="A417" s="51">
        <v>1.206</v>
      </c>
      <c r="B417" s="53">
        <v>10764.8266</v>
      </c>
      <c r="C417" s="53">
        <v>922.51070000000004</v>
      </c>
      <c r="D417" s="53">
        <v>461.25540000000001</v>
      </c>
      <c r="E417" s="53">
        <v>461.25540000000001</v>
      </c>
      <c r="F417" s="53">
        <v>1845.0214000000001</v>
      </c>
      <c r="G417" s="53">
        <v>922.51070000000004</v>
      </c>
      <c r="H417" s="53">
        <v>922.51070000000004</v>
      </c>
      <c r="I417" s="53">
        <v>1845.0214000000001</v>
      </c>
      <c r="J417" s="53">
        <v>564.12350000000004</v>
      </c>
      <c r="K417" s="53">
        <v>1692.3705</v>
      </c>
      <c r="L417" s="53">
        <v>564.12350000000004</v>
      </c>
      <c r="M417" s="53">
        <v>564.12350000000004</v>
      </c>
      <c r="N417" s="3" t="s">
        <v>69</v>
      </c>
    </row>
    <row r="418" spans="1:14" x14ac:dyDescent="0.25">
      <c r="A418" s="51">
        <v>1.2070000000000001</v>
      </c>
      <c r="B418" s="53">
        <v>10770.946099999999</v>
      </c>
      <c r="C418" s="53">
        <v>923.27560000000005</v>
      </c>
      <c r="D418" s="53">
        <v>461.63780000000003</v>
      </c>
      <c r="E418" s="53">
        <v>461.63780000000003</v>
      </c>
      <c r="F418" s="53">
        <v>1846.5513000000001</v>
      </c>
      <c r="G418" s="53">
        <v>923.27560000000005</v>
      </c>
      <c r="H418" s="53">
        <v>923.27560000000005</v>
      </c>
      <c r="I418" s="53">
        <v>1846.5513000000001</v>
      </c>
      <c r="J418" s="53">
        <v>564.12350000000004</v>
      </c>
      <c r="K418" s="53">
        <v>1692.3705</v>
      </c>
      <c r="L418" s="53">
        <v>564.12350000000004</v>
      </c>
      <c r="M418" s="53">
        <v>564.12350000000004</v>
      </c>
      <c r="N418" s="3" t="s">
        <v>69</v>
      </c>
    </row>
    <row r="419" spans="1:14" x14ac:dyDescent="0.25">
      <c r="A419" s="51">
        <v>1.208</v>
      </c>
      <c r="B419" s="53">
        <v>10777.0656</v>
      </c>
      <c r="C419" s="53">
        <v>924.04060000000004</v>
      </c>
      <c r="D419" s="53">
        <v>462.02030000000002</v>
      </c>
      <c r="E419" s="53">
        <v>462.02030000000002</v>
      </c>
      <c r="F419" s="53">
        <v>1848.0811000000001</v>
      </c>
      <c r="G419" s="53">
        <v>924.04060000000004</v>
      </c>
      <c r="H419" s="53">
        <v>924.04060000000004</v>
      </c>
      <c r="I419" s="53">
        <v>1848.0811000000001</v>
      </c>
      <c r="J419" s="53">
        <v>564.12350000000004</v>
      </c>
      <c r="K419" s="53">
        <v>1692.3705</v>
      </c>
      <c r="L419" s="53">
        <v>564.12350000000004</v>
      </c>
      <c r="M419" s="53">
        <v>564.12350000000004</v>
      </c>
      <c r="N419" s="3" t="s">
        <v>69</v>
      </c>
    </row>
    <row r="420" spans="1:14" x14ac:dyDescent="0.25">
      <c r="A420" s="51">
        <v>1.2090000000000001</v>
      </c>
      <c r="B420" s="53">
        <v>10783.184999999999</v>
      </c>
      <c r="C420" s="53">
        <v>924.80550000000005</v>
      </c>
      <c r="D420" s="53">
        <v>462.40280000000001</v>
      </c>
      <c r="E420" s="53">
        <v>462.40280000000001</v>
      </c>
      <c r="F420" s="53">
        <v>1849.6110000000001</v>
      </c>
      <c r="G420" s="53">
        <v>924.80550000000005</v>
      </c>
      <c r="H420" s="53">
        <v>924.80550000000005</v>
      </c>
      <c r="I420" s="53">
        <v>1849.6110000000001</v>
      </c>
      <c r="J420" s="53">
        <v>564.12350000000004</v>
      </c>
      <c r="K420" s="53">
        <v>1692.3705</v>
      </c>
      <c r="L420" s="53">
        <v>564.12350000000004</v>
      </c>
      <c r="M420" s="53">
        <v>564.12350000000004</v>
      </c>
      <c r="N420" s="3" t="s">
        <v>69</v>
      </c>
    </row>
    <row r="421" spans="1:14" x14ac:dyDescent="0.25">
      <c r="A421" s="51">
        <v>1.21</v>
      </c>
      <c r="B421" s="53">
        <v>10789.3045</v>
      </c>
      <c r="C421" s="53">
        <v>925.57039999999995</v>
      </c>
      <c r="D421" s="53">
        <v>462.78519999999997</v>
      </c>
      <c r="E421" s="53">
        <v>462.78519999999997</v>
      </c>
      <c r="F421" s="53">
        <v>1851.1409000000001</v>
      </c>
      <c r="G421" s="53">
        <v>925.57039999999995</v>
      </c>
      <c r="H421" s="53">
        <v>925.57039999999995</v>
      </c>
      <c r="I421" s="53">
        <v>1851.1409000000001</v>
      </c>
      <c r="J421" s="53">
        <v>564.12350000000004</v>
      </c>
      <c r="K421" s="53">
        <v>1692.3705</v>
      </c>
      <c r="L421" s="53">
        <v>564.12350000000004</v>
      </c>
      <c r="M421" s="53">
        <v>564.12350000000004</v>
      </c>
      <c r="N421" s="3" t="s">
        <v>69</v>
      </c>
    </row>
    <row r="422" spans="1:14" x14ac:dyDescent="0.25">
      <c r="A422" s="51">
        <v>1.2110000000000001</v>
      </c>
      <c r="B422" s="53">
        <v>10795.424000000001</v>
      </c>
      <c r="C422" s="53">
        <v>926.33540000000005</v>
      </c>
      <c r="D422" s="53">
        <v>463.16770000000002</v>
      </c>
      <c r="E422" s="53">
        <v>463.16770000000002</v>
      </c>
      <c r="F422" s="53">
        <v>1852.6706999999999</v>
      </c>
      <c r="G422" s="53">
        <v>926.33540000000005</v>
      </c>
      <c r="H422" s="53">
        <v>926.33540000000005</v>
      </c>
      <c r="I422" s="53">
        <v>1852.6706999999999</v>
      </c>
      <c r="J422" s="53">
        <v>564.12350000000004</v>
      </c>
      <c r="K422" s="53">
        <v>1692.3705</v>
      </c>
      <c r="L422" s="53">
        <v>564.12350000000004</v>
      </c>
      <c r="M422" s="53">
        <v>564.12350000000004</v>
      </c>
      <c r="N422" s="3" t="s">
        <v>69</v>
      </c>
    </row>
    <row r="423" spans="1:14" x14ac:dyDescent="0.25">
      <c r="A423" s="51">
        <v>1.212</v>
      </c>
      <c r="B423" s="53">
        <v>10801.5435</v>
      </c>
      <c r="C423" s="53">
        <v>927.10029999999995</v>
      </c>
      <c r="D423" s="53">
        <v>463.55020000000002</v>
      </c>
      <c r="E423" s="53">
        <v>463.55020000000002</v>
      </c>
      <c r="F423" s="53">
        <v>1854.2005999999999</v>
      </c>
      <c r="G423" s="53">
        <v>927.10029999999995</v>
      </c>
      <c r="H423" s="53">
        <v>927.10029999999995</v>
      </c>
      <c r="I423" s="53">
        <v>1854.2005999999999</v>
      </c>
      <c r="J423" s="53">
        <v>564.12350000000004</v>
      </c>
      <c r="K423" s="53">
        <v>1692.3705</v>
      </c>
      <c r="L423" s="53">
        <v>564.12350000000004</v>
      </c>
      <c r="M423" s="53">
        <v>564.12350000000004</v>
      </c>
      <c r="N423" s="3" t="s">
        <v>69</v>
      </c>
    </row>
    <row r="424" spans="1:14" x14ac:dyDescent="0.25">
      <c r="A424" s="51">
        <v>1.2130000000000001</v>
      </c>
      <c r="B424" s="53">
        <v>10807.662899999999</v>
      </c>
      <c r="C424" s="53">
        <v>927.86519999999996</v>
      </c>
      <c r="D424" s="53">
        <v>463.93259999999998</v>
      </c>
      <c r="E424" s="53">
        <v>463.93259999999998</v>
      </c>
      <c r="F424" s="53">
        <v>1855.7304999999999</v>
      </c>
      <c r="G424" s="53">
        <v>927.86519999999996</v>
      </c>
      <c r="H424" s="53">
        <v>927.86519999999996</v>
      </c>
      <c r="I424" s="53">
        <v>1855.7304999999999</v>
      </c>
      <c r="J424" s="53">
        <v>564.12350000000004</v>
      </c>
      <c r="K424" s="53">
        <v>1692.3705</v>
      </c>
      <c r="L424" s="53">
        <v>564.12350000000004</v>
      </c>
      <c r="M424" s="53">
        <v>564.12350000000004</v>
      </c>
      <c r="N424" s="3" t="s">
        <v>69</v>
      </c>
    </row>
    <row r="425" spans="1:14" x14ac:dyDescent="0.25">
      <c r="A425" s="51">
        <v>1.214</v>
      </c>
      <c r="B425" s="53">
        <v>10813.7824</v>
      </c>
      <c r="C425" s="53">
        <v>928.63019999999995</v>
      </c>
      <c r="D425" s="53">
        <v>464.31509999999997</v>
      </c>
      <c r="E425" s="53">
        <v>464.31509999999997</v>
      </c>
      <c r="F425" s="53">
        <v>1857.2603999999999</v>
      </c>
      <c r="G425" s="53">
        <v>928.63019999999995</v>
      </c>
      <c r="H425" s="53">
        <v>928.63019999999995</v>
      </c>
      <c r="I425" s="53">
        <v>1857.2603999999999</v>
      </c>
      <c r="J425" s="53">
        <v>564.12350000000004</v>
      </c>
      <c r="K425" s="53">
        <v>1692.3705</v>
      </c>
      <c r="L425" s="53">
        <v>564.12350000000004</v>
      </c>
      <c r="M425" s="53">
        <v>564.12350000000004</v>
      </c>
      <c r="N425" s="3" t="s">
        <v>69</v>
      </c>
    </row>
    <row r="426" spans="1:14" x14ac:dyDescent="0.25">
      <c r="A426" s="51">
        <v>1.2150000000000001</v>
      </c>
      <c r="B426" s="53">
        <v>10819.901900000001</v>
      </c>
      <c r="C426" s="53">
        <v>929.39509999999996</v>
      </c>
      <c r="D426" s="53">
        <v>464.69760000000002</v>
      </c>
      <c r="E426" s="53">
        <v>464.69760000000002</v>
      </c>
      <c r="F426" s="53">
        <v>1858.7901999999999</v>
      </c>
      <c r="G426" s="53">
        <v>929.39509999999996</v>
      </c>
      <c r="H426" s="53">
        <v>929.39509999999996</v>
      </c>
      <c r="I426" s="53">
        <v>1858.7901999999999</v>
      </c>
      <c r="J426" s="53">
        <v>564.12350000000004</v>
      </c>
      <c r="K426" s="53">
        <v>1692.3705</v>
      </c>
      <c r="L426" s="53">
        <v>564.12350000000004</v>
      </c>
      <c r="M426" s="53">
        <v>564.12350000000004</v>
      </c>
      <c r="N426" s="3" t="s">
        <v>69</v>
      </c>
    </row>
    <row r="427" spans="1:14" x14ac:dyDescent="0.25">
      <c r="A427" s="51">
        <v>1.216</v>
      </c>
      <c r="B427" s="53">
        <v>10826.0213</v>
      </c>
      <c r="C427" s="53">
        <v>930.16</v>
      </c>
      <c r="D427" s="53">
        <v>465.08</v>
      </c>
      <c r="E427" s="53">
        <v>465.08</v>
      </c>
      <c r="F427" s="53">
        <v>1860.3200999999999</v>
      </c>
      <c r="G427" s="53">
        <v>930.16</v>
      </c>
      <c r="H427" s="53">
        <v>930.16</v>
      </c>
      <c r="I427" s="53">
        <v>1860.3200999999999</v>
      </c>
      <c r="J427" s="53">
        <v>564.12350000000004</v>
      </c>
      <c r="K427" s="53">
        <v>1692.3705</v>
      </c>
      <c r="L427" s="53">
        <v>564.12350000000004</v>
      </c>
      <c r="M427" s="53">
        <v>564.12350000000004</v>
      </c>
      <c r="N427" s="3" t="s">
        <v>69</v>
      </c>
    </row>
    <row r="428" spans="1:14" x14ac:dyDescent="0.25">
      <c r="A428" s="51">
        <v>1.2170000000000001</v>
      </c>
      <c r="B428" s="53">
        <v>10832.140799999999</v>
      </c>
      <c r="C428" s="53">
        <v>930.92499999999995</v>
      </c>
      <c r="D428" s="53">
        <v>465.46249999999998</v>
      </c>
      <c r="E428" s="53">
        <v>465.46249999999998</v>
      </c>
      <c r="F428" s="53">
        <v>1861.85</v>
      </c>
      <c r="G428" s="53">
        <v>930.92499999999995</v>
      </c>
      <c r="H428" s="53">
        <v>930.92499999999995</v>
      </c>
      <c r="I428" s="53">
        <v>1861.85</v>
      </c>
      <c r="J428" s="53">
        <v>564.12350000000004</v>
      </c>
      <c r="K428" s="53">
        <v>1692.3705</v>
      </c>
      <c r="L428" s="53">
        <v>564.12350000000004</v>
      </c>
      <c r="M428" s="53">
        <v>564.12350000000004</v>
      </c>
      <c r="N428" s="3" t="s">
        <v>69</v>
      </c>
    </row>
    <row r="429" spans="1:14" x14ac:dyDescent="0.25">
      <c r="A429" s="51">
        <v>1.218</v>
      </c>
      <c r="B429" s="53">
        <v>10838.2603</v>
      </c>
      <c r="C429" s="53">
        <v>931.68989999999997</v>
      </c>
      <c r="D429" s="53">
        <v>465.84500000000003</v>
      </c>
      <c r="E429" s="53">
        <v>465.84500000000003</v>
      </c>
      <c r="F429" s="53">
        <v>1863.3797999999999</v>
      </c>
      <c r="G429" s="53">
        <v>931.68989999999997</v>
      </c>
      <c r="H429" s="53">
        <v>931.68989999999997</v>
      </c>
      <c r="I429" s="53">
        <v>1863.3797999999999</v>
      </c>
      <c r="J429" s="53">
        <v>564.12350000000004</v>
      </c>
      <c r="K429" s="53">
        <v>1692.3705</v>
      </c>
      <c r="L429" s="53">
        <v>564.12350000000004</v>
      </c>
      <c r="M429" s="53">
        <v>564.12350000000004</v>
      </c>
      <c r="N429" s="3" t="s">
        <v>69</v>
      </c>
    </row>
    <row r="430" spans="1:14" x14ac:dyDescent="0.25">
      <c r="A430" s="51">
        <v>1.2190000000000001</v>
      </c>
      <c r="B430" s="53">
        <v>10844.379800000001</v>
      </c>
      <c r="C430" s="53">
        <v>932.45479999999998</v>
      </c>
      <c r="D430" s="53">
        <v>466.22739999999999</v>
      </c>
      <c r="E430" s="53">
        <v>466.22739999999999</v>
      </c>
      <c r="F430" s="53">
        <v>1864.9096999999999</v>
      </c>
      <c r="G430" s="53">
        <v>932.45479999999998</v>
      </c>
      <c r="H430" s="53">
        <v>932.45479999999998</v>
      </c>
      <c r="I430" s="53">
        <v>1864.9096999999999</v>
      </c>
      <c r="J430" s="53">
        <v>564.12350000000004</v>
      </c>
      <c r="K430" s="53">
        <v>1692.3705</v>
      </c>
      <c r="L430" s="53">
        <v>564.12350000000004</v>
      </c>
      <c r="M430" s="53">
        <v>564.12350000000004</v>
      </c>
      <c r="N430" s="3" t="s">
        <v>69</v>
      </c>
    </row>
    <row r="431" spans="1:14" x14ac:dyDescent="0.25">
      <c r="A431" s="51">
        <v>1.22</v>
      </c>
      <c r="B431" s="53">
        <v>10850.4992</v>
      </c>
      <c r="C431" s="53">
        <v>933.21979999999996</v>
      </c>
      <c r="D431" s="53">
        <v>466.60989999999998</v>
      </c>
      <c r="E431" s="53">
        <v>466.60989999999998</v>
      </c>
      <c r="F431" s="53">
        <v>1866.4395999999999</v>
      </c>
      <c r="G431" s="53">
        <v>933.21979999999996</v>
      </c>
      <c r="H431" s="53">
        <v>933.21979999999996</v>
      </c>
      <c r="I431" s="53">
        <v>1866.4395999999999</v>
      </c>
      <c r="J431" s="53">
        <v>564.12350000000004</v>
      </c>
      <c r="K431" s="53">
        <v>1692.3705</v>
      </c>
      <c r="L431" s="53">
        <v>564.12350000000004</v>
      </c>
      <c r="M431" s="53">
        <v>564.12350000000004</v>
      </c>
      <c r="N431" s="3" t="s">
        <v>69</v>
      </c>
    </row>
    <row r="432" spans="1:14" x14ac:dyDescent="0.25">
      <c r="A432" s="51">
        <v>1.2210000000000001</v>
      </c>
      <c r="B432" s="53">
        <v>10856.618700000001</v>
      </c>
      <c r="C432" s="53">
        <v>933.98469999999998</v>
      </c>
      <c r="D432" s="53">
        <v>466.99239999999998</v>
      </c>
      <c r="E432" s="53">
        <v>466.99239999999998</v>
      </c>
      <c r="F432" s="53">
        <v>1867.9694</v>
      </c>
      <c r="G432" s="53">
        <v>933.98469999999998</v>
      </c>
      <c r="H432" s="53">
        <v>933.98469999999998</v>
      </c>
      <c r="I432" s="53">
        <v>1867.9694</v>
      </c>
      <c r="J432" s="53">
        <v>564.12350000000004</v>
      </c>
      <c r="K432" s="53">
        <v>1692.3705</v>
      </c>
      <c r="L432" s="53">
        <v>564.12350000000004</v>
      </c>
      <c r="M432" s="53">
        <v>564.12350000000004</v>
      </c>
      <c r="N432" s="3" t="s">
        <v>69</v>
      </c>
    </row>
    <row r="433" spans="1:14" x14ac:dyDescent="0.25">
      <c r="A433" s="51">
        <v>1.222</v>
      </c>
      <c r="B433" s="53">
        <v>10862.7382</v>
      </c>
      <c r="C433" s="53">
        <v>934.74959999999999</v>
      </c>
      <c r="D433" s="53">
        <v>467.37479999999999</v>
      </c>
      <c r="E433" s="53">
        <v>467.37479999999999</v>
      </c>
      <c r="F433" s="53">
        <v>1869.4992999999999</v>
      </c>
      <c r="G433" s="53">
        <v>934.74959999999999</v>
      </c>
      <c r="H433" s="53">
        <v>934.74959999999999</v>
      </c>
      <c r="I433" s="53">
        <v>1869.4992999999999</v>
      </c>
      <c r="J433" s="53">
        <v>564.12350000000004</v>
      </c>
      <c r="K433" s="53">
        <v>1692.3705</v>
      </c>
      <c r="L433" s="53">
        <v>564.12350000000004</v>
      </c>
      <c r="M433" s="53">
        <v>564.12350000000004</v>
      </c>
      <c r="N433" s="3" t="s">
        <v>69</v>
      </c>
    </row>
    <row r="434" spans="1:14" x14ac:dyDescent="0.25">
      <c r="A434" s="51">
        <v>1.2230000000000001</v>
      </c>
      <c r="B434" s="53">
        <v>10868.8577</v>
      </c>
      <c r="C434" s="53">
        <v>935.51459999999997</v>
      </c>
      <c r="D434" s="53">
        <v>467.75729999999999</v>
      </c>
      <c r="E434" s="53">
        <v>467.75729999999999</v>
      </c>
      <c r="F434" s="53">
        <v>1871.0291999999999</v>
      </c>
      <c r="G434" s="53">
        <v>935.51459999999997</v>
      </c>
      <c r="H434" s="53">
        <v>935.51459999999997</v>
      </c>
      <c r="I434" s="53">
        <v>1871.0291999999999</v>
      </c>
      <c r="J434" s="53">
        <v>564.12350000000004</v>
      </c>
      <c r="K434" s="53">
        <v>1692.3705</v>
      </c>
      <c r="L434" s="53">
        <v>564.12350000000004</v>
      </c>
      <c r="M434" s="53">
        <v>564.12350000000004</v>
      </c>
      <c r="N434" s="3" t="s">
        <v>69</v>
      </c>
    </row>
    <row r="435" spans="1:14" x14ac:dyDescent="0.25">
      <c r="A435" s="51">
        <v>1.224</v>
      </c>
      <c r="B435" s="53">
        <v>10874.9771</v>
      </c>
      <c r="C435" s="53">
        <v>936.27949999999998</v>
      </c>
      <c r="D435" s="53">
        <v>468.13979999999998</v>
      </c>
      <c r="E435" s="53">
        <v>468.13979999999998</v>
      </c>
      <c r="F435" s="53">
        <v>1872.559</v>
      </c>
      <c r="G435" s="53">
        <v>936.27949999999998</v>
      </c>
      <c r="H435" s="53">
        <v>936.27949999999998</v>
      </c>
      <c r="I435" s="53">
        <v>1872.559</v>
      </c>
      <c r="J435" s="53">
        <v>564.12350000000004</v>
      </c>
      <c r="K435" s="53">
        <v>1692.3705</v>
      </c>
      <c r="L435" s="53">
        <v>564.12350000000004</v>
      </c>
      <c r="M435" s="53">
        <v>564.12350000000004</v>
      </c>
      <c r="N435" s="3" t="s">
        <v>69</v>
      </c>
    </row>
    <row r="436" spans="1:14" x14ac:dyDescent="0.25">
      <c r="A436" s="51">
        <v>1.2250000000000001</v>
      </c>
      <c r="B436" s="53">
        <v>10881.096600000001</v>
      </c>
      <c r="C436" s="53">
        <v>937.04449999999997</v>
      </c>
      <c r="D436" s="53">
        <v>468.5222</v>
      </c>
      <c r="E436" s="53">
        <v>468.5222</v>
      </c>
      <c r="F436" s="53">
        <v>1874.0889</v>
      </c>
      <c r="G436" s="53">
        <v>937.04449999999997</v>
      </c>
      <c r="H436" s="53">
        <v>937.04449999999997</v>
      </c>
      <c r="I436" s="53">
        <v>1874.0889</v>
      </c>
      <c r="J436" s="53">
        <v>564.12350000000004</v>
      </c>
      <c r="K436" s="53">
        <v>1692.3705</v>
      </c>
      <c r="L436" s="53">
        <v>564.12350000000004</v>
      </c>
      <c r="M436" s="53">
        <v>564.12350000000004</v>
      </c>
      <c r="N436" s="3" t="s">
        <v>69</v>
      </c>
    </row>
    <row r="437" spans="1:14" x14ac:dyDescent="0.25">
      <c r="A437" s="51">
        <v>1.226</v>
      </c>
      <c r="B437" s="53">
        <v>10887.2161</v>
      </c>
      <c r="C437" s="53">
        <v>937.80939999999998</v>
      </c>
      <c r="D437" s="53">
        <v>468.90469999999999</v>
      </c>
      <c r="E437" s="53">
        <v>468.90469999999999</v>
      </c>
      <c r="F437" s="53">
        <v>1875.6188</v>
      </c>
      <c r="G437" s="53">
        <v>937.80939999999998</v>
      </c>
      <c r="H437" s="53">
        <v>937.80939999999998</v>
      </c>
      <c r="I437" s="53">
        <v>1875.6188</v>
      </c>
      <c r="J437" s="53">
        <v>564.12350000000004</v>
      </c>
      <c r="K437" s="53">
        <v>1692.3705</v>
      </c>
      <c r="L437" s="53">
        <v>564.12350000000004</v>
      </c>
      <c r="M437" s="53">
        <v>564.12350000000004</v>
      </c>
      <c r="N437" s="3" t="s">
        <v>69</v>
      </c>
    </row>
    <row r="438" spans="1:14" x14ac:dyDescent="0.25">
      <c r="A438" s="51">
        <v>1.2270000000000001</v>
      </c>
      <c r="B438" s="53">
        <v>10893.3356</v>
      </c>
      <c r="C438" s="53">
        <v>938.57429999999999</v>
      </c>
      <c r="D438" s="53">
        <v>469.28719999999998</v>
      </c>
      <c r="E438" s="53">
        <v>469.28719999999998</v>
      </c>
      <c r="F438" s="53">
        <v>1877.1486</v>
      </c>
      <c r="G438" s="53">
        <v>938.57429999999999</v>
      </c>
      <c r="H438" s="53">
        <v>938.57429999999999</v>
      </c>
      <c r="I438" s="53">
        <v>1877.1486</v>
      </c>
      <c r="J438" s="53">
        <v>564.12350000000004</v>
      </c>
      <c r="K438" s="53">
        <v>1692.3705</v>
      </c>
      <c r="L438" s="53">
        <v>564.12350000000004</v>
      </c>
      <c r="M438" s="53">
        <v>564.12350000000004</v>
      </c>
      <c r="N438" s="3" t="s">
        <v>69</v>
      </c>
    </row>
    <row r="439" spans="1:14" x14ac:dyDescent="0.25">
      <c r="A439" s="51">
        <v>1.228</v>
      </c>
      <c r="B439" s="53">
        <v>10899.455</v>
      </c>
      <c r="C439" s="53">
        <v>939.33929999999998</v>
      </c>
      <c r="D439" s="53">
        <v>469.6696</v>
      </c>
      <c r="E439" s="53">
        <v>469.6696</v>
      </c>
      <c r="F439" s="53">
        <v>1878.6785</v>
      </c>
      <c r="G439" s="53">
        <v>939.33929999999998</v>
      </c>
      <c r="H439" s="53">
        <v>939.33929999999998</v>
      </c>
      <c r="I439" s="53">
        <v>1878.6785</v>
      </c>
      <c r="J439" s="53">
        <v>564.12350000000004</v>
      </c>
      <c r="K439" s="53">
        <v>1692.3705</v>
      </c>
      <c r="L439" s="53">
        <v>564.12350000000004</v>
      </c>
      <c r="M439" s="53">
        <v>564.12350000000004</v>
      </c>
      <c r="N439" s="3" t="s">
        <v>69</v>
      </c>
    </row>
    <row r="440" spans="1:14" x14ac:dyDescent="0.25">
      <c r="A440" s="51">
        <v>1.2290000000000001</v>
      </c>
      <c r="B440" s="53">
        <v>10905.574500000001</v>
      </c>
      <c r="C440" s="53">
        <v>940.10419999999999</v>
      </c>
      <c r="D440" s="53">
        <v>470.0521</v>
      </c>
      <c r="E440" s="53">
        <v>470.0521</v>
      </c>
      <c r="F440" s="53">
        <v>1880.2084</v>
      </c>
      <c r="G440" s="53">
        <v>940.10419999999999</v>
      </c>
      <c r="H440" s="53">
        <v>940.10419999999999</v>
      </c>
      <c r="I440" s="53">
        <v>1880.2084</v>
      </c>
      <c r="J440" s="53">
        <v>564.12350000000004</v>
      </c>
      <c r="K440" s="53">
        <v>1692.3705</v>
      </c>
      <c r="L440" s="53">
        <v>564.12350000000004</v>
      </c>
      <c r="M440" s="53">
        <v>564.12350000000004</v>
      </c>
      <c r="N440" s="3" t="s">
        <v>69</v>
      </c>
    </row>
    <row r="441" spans="1:14" x14ac:dyDescent="0.25">
      <c r="A441" s="51">
        <v>1.23</v>
      </c>
      <c r="B441" s="53">
        <v>10911.694</v>
      </c>
      <c r="C441" s="53">
        <v>940.8691</v>
      </c>
      <c r="D441" s="53">
        <v>470.43459999999999</v>
      </c>
      <c r="E441" s="53">
        <v>470.43459999999999</v>
      </c>
      <c r="F441" s="53">
        <v>1881.7382</v>
      </c>
      <c r="G441" s="53">
        <v>940.8691</v>
      </c>
      <c r="H441" s="53">
        <v>940.8691</v>
      </c>
      <c r="I441" s="53">
        <v>1881.7382</v>
      </c>
      <c r="J441" s="53">
        <v>564.12350000000004</v>
      </c>
      <c r="K441" s="53">
        <v>1692.3705</v>
      </c>
      <c r="L441" s="53">
        <v>564.12350000000004</v>
      </c>
      <c r="M441" s="53">
        <v>564.12350000000004</v>
      </c>
      <c r="N441" s="3" t="s">
        <v>69</v>
      </c>
    </row>
    <row r="442" spans="1:14" x14ac:dyDescent="0.25">
      <c r="A442" s="51">
        <v>1.2310000000000001</v>
      </c>
      <c r="B442" s="53">
        <v>10917.8135</v>
      </c>
      <c r="C442" s="53">
        <v>941.63409999999999</v>
      </c>
      <c r="D442" s="53">
        <v>470.81700000000001</v>
      </c>
      <c r="E442" s="53">
        <v>470.81700000000001</v>
      </c>
      <c r="F442" s="53">
        <v>1883.2681</v>
      </c>
      <c r="G442" s="53">
        <v>941.63409999999999</v>
      </c>
      <c r="H442" s="53">
        <v>941.63409999999999</v>
      </c>
      <c r="I442" s="53">
        <v>1883.2681</v>
      </c>
      <c r="J442" s="53">
        <v>564.12350000000004</v>
      </c>
      <c r="K442" s="53">
        <v>1692.3705</v>
      </c>
      <c r="L442" s="53">
        <v>564.12350000000004</v>
      </c>
      <c r="M442" s="53">
        <v>564.12350000000004</v>
      </c>
      <c r="N442" s="3" t="s">
        <v>69</v>
      </c>
    </row>
    <row r="443" spans="1:14" x14ac:dyDescent="0.25">
      <c r="A443" s="51">
        <v>1.232</v>
      </c>
      <c r="B443" s="53">
        <v>10923.9329</v>
      </c>
      <c r="C443" s="53">
        <v>942.399</v>
      </c>
      <c r="D443" s="53">
        <v>471.1995</v>
      </c>
      <c r="E443" s="53">
        <v>471.1995</v>
      </c>
      <c r="F443" s="53">
        <v>1884.798</v>
      </c>
      <c r="G443" s="53">
        <v>942.399</v>
      </c>
      <c r="H443" s="53">
        <v>942.399</v>
      </c>
      <c r="I443" s="53">
        <v>1884.798</v>
      </c>
      <c r="J443" s="53">
        <v>564.12350000000004</v>
      </c>
      <c r="K443" s="53">
        <v>1692.3705</v>
      </c>
      <c r="L443" s="53">
        <v>564.12350000000004</v>
      </c>
      <c r="M443" s="53">
        <v>564.12350000000004</v>
      </c>
      <c r="N443" s="3" t="s">
        <v>69</v>
      </c>
    </row>
    <row r="444" spans="1:14" x14ac:dyDescent="0.25">
      <c r="A444" s="51">
        <v>1.2330000000000001</v>
      </c>
      <c r="B444" s="53">
        <v>10930.0524</v>
      </c>
      <c r="C444" s="53">
        <v>943.16390000000001</v>
      </c>
      <c r="D444" s="53">
        <v>471.58199999999999</v>
      </c>
      <c r="E444" s="53">
        <v>471.58199999999999</v>
      </c>
      <c r="F444" s="53">
        <v>1886.3279</v>
      </c>
      <c r="G444" s="53">
        <v>943.16390000000001</v>
      </c>
      <c r="H444" s="53">
        <v>943.16390000000001</v>
      </c>
      <c r="I444" s="53">
        <v>1886.3279</v>
      </c>
      <c r="J444" s="53">
        <v>564.12350000000004</v>
      </c>
      <c r="K444" s="53">
        <v>1692.3705</v>
      </c>
      <c r="L444" s="53">
        <v>564.12350000000004</v>
      </c>
      <c r="M444" s="53">
        <v>564.12350000000004</v>
      </c>
      <c r="N444" s="3" t="s">
        <v>69</v>
      </c>
    </row>
    <row r="445" spans="1:14" x14ac:dyDescent="0.25">
      <c r="A445" s="51">
        <v>1.234</v>
      </c>
      <c r="B445" s="53">
        <v>10936.171899999999</v>
      </c>
      <c r="C445" s="53">
        <v>943.9289</v>
      </c>
      <c r="D445" s="53">
        <v>471.96440000000001</v>
      </c>
      <c r="E445" s="53">
        <v>471.96440000000001</v>
      </c>
      <c r="F445" s="53">
        <v>1887.8577</v>
      </c>
      <c r="G445" s="53">
        <v>943.9289</v>
      </c>
      <c r="H445" s="53">
        <v>943.9289</v>
      </c>
      <c r="I445" s="53">
        <v>1887.8577</v>
      </c>
      <c r="J445" s="53">
        <v>564.12350000000004</v>
      </c>
      <c r="K445" s="53">
        <v>1692.3705</v>
      </c>
      <c r="L445" s="53">
        <v>564.12350000000004</v>
      </c>
      <c r="M445" s="53">
        <v>564.12350000000004</v>
      </c>
      <c r="N445" s="3" t="s">
        <v>69</v>
      </c>
    </row>
    <row r="446" spans="1:14" x14ac:dyDescent="0.25">
      <c r="A446" s="51">
        <v>1.2350000000000001</v>
      </c>
      <c r="B446" s="53">
        <v>10942.2914</v>
      </c>
      <c r="C446" s="53">
        <v>944.69380000000001</v>
      </c>
      <c r="D446" s="53">
        <v>472.34690000000001</v>
      </c>
      <c r="E446" s="53">
        <v>472.34690000000001</v>
      </c>
      <c r="F446" s="53">
        <v>1889.3876</v>
      </c>
      <c r="G446" s="53">
        <v>944.69380000000001</v>
      </c>
      <c r="H446" s="53">
        <v>944.69380000000001</v>
      </c>
      <c r="I446" s="53">
        <v>1889.3876</v>
      </c>
      <c r="J446" s="53">
        <v>564.12350000000004</v>
      </c>
      <c r="K446" s="53">
        <v>1692.3705</v>
      </c>
      <c r="L446" s="53">
        <v>564.12350000000004</v>
      </c>
      <c r="M446" s="53">
        <v>564.12350000000004</v>
      </c>
      <c r="N446" s="3" t="s">
        <v>69</v>
      </c>
    </row>
    <row r="447" spans="1:14" x14ac:dyDescent="0.25">
      <c r="A447" s="51">
        <v>1.236</v>
      </c>
      <c r="B447" s="53">
        <v>10948.4108</v>
      </c>
      <c r="C447" s="53">
        <v>945.45870000000002</v>
      </c>
      <c r="D447" s="53">
        <v>472.7294</v>
      </c>
      <c r="E447" s="53">
        <v>472.7294</v>
      </c>
      <c r="F447" s="53">
        <v>1890.9175</v>
      </c>
      <c r="G447" s="53">
        <v>945.45870000000002</v>
      </c>
      <c r="H447" s="53">
        <v>945.45870000000002</v>
      </c>
      <c r="I447" s="53">
        <v>1890.9175</v>
      </c>
      <c r="J447" s="53">
        <v>564.12350000000004</v>
      </c>
      <c r="K447" s="53">
        <v>1692.3705</v>
      </c>
      <c r="L447" s="53">
        <v>564.12350000000004</v>
      </c>
      <c r="M447" s="53">
        <v>564.12350000000004</v>
      </c>
      <c r="N447" s="3" t="s">
        <v>69</v>
      </c>
    </row>
    <row r="448" spans="1:14" x14ac:dyDescent="0.25">
      <c r="A448" s="51">
        <v>1.2370000000000001</v>
      </c>
      <c r="B448" s="53">
        <v>10954.5303</v>
      </c>
      <c r="C448" s="53">
        <v>946.22370000000001</v>
      </c>
      <c r="D448" s="53">
        <v>473.11180000000002</v>
      </c>
      <c r="E448" s="53">
        <v>473.11180000000002</v>
      </c>
      <c r="F448" s="53">
        <v>1892.4473</v>
      </c>
      <c r="G448" s="53">
        <v>946.22370000000001</v>
      </c>
      <c r="H448" s="53">
        <v>946.22370000000001</v>
      </c>
      <c r="I448" s="53">
        <v>1892.4473</v>
      </c>
      <c r="J448" s="53">
        <v>564.12350000000004</v>
      </c>
      <c r="K448" s="53">
        <v>1692.3705</v>
      </c>
      <c r="L448" s="53">
        <v>564.12350000000004</v>
      </c>
      <c r="M448" s="53">
        <v>564.12350000000004</v>
      </c>
      <c r="N448" s="3" t="s">
        <v>69</v>
      </c>
    </row>
    <row r="449" spans="1:14" x14ac:dyDescent="0.25">
      <c r="A449" s="51">
        <v>1.238</v>
      </c>
      <c r="B449" s="53">
        <v>10960.649799999999</v>
      </c>
      <c r="C449" s="53">
        <v>946.98860000000002</v>
      </c>
      <c r="D449" s="53">
        <v>473.49430000000001</v>
      </c>
      <c r="E449" s="53">
        <v>473.49430000000001</v>
      </c>
      <c r="F449" s="53">
        <v>1893.9772</v>
      </c>
      <c r="G449" s="53">
        <v>946.98860000000002</v>
      </c>
      <c r="H449" s="53">
        <v>946.98860000000002</v>
      </c>
      <c r="I449" s="53">
        <v>1893.9772</v>
      </c>
      <c r="J449" s="53">
        <v>564.12350000000004</v>
      </c>
      <c r="K449" s="53">
        <v>1692.3705</v>
      </c>
      <c r="L449" s="53">
        <v>564.12350000000004</v>
      </c>
      <c r="M449" s="53">
        <v>564.12350000000004</v>
      </c>
      <c r="N449" s="3" t="s">
        <v>69</v>
      </c>
    </row>
    <row r="450" spans="1:14" x14ac:dyDescent="0.25">
      <c r="A450" s="51">
        <v>1.2390000000000001</v>
      </c>
      <c r="B450" s="53">
        <v>10966.769200000001</v>
      </c>
      <c r="C450" s="53">
        <v>947.75350000000003</v>
      </c>
      <c r="D450" s="53">
        <v>473.8768</v>
      </c>
      <c r="E450" s="53">
        <v>473.8768</v>
      </c>
      <c r="F450" s="53">
        <v>1895.5071</v>
      </c>
      <c r="G450" s="53">
        <v>947.75350000000003</v>
      </c>
      <c r="H450" s="53">
        <v>947.75350000000003</v>
      </c>
      <c r="I450" s="53">
        <v>1895.5071</v>
      </c>
      <c r="J450" s="53">
        <v>564.12350000000004</v>
      </c>
      <c r="K450" s="53">
        <v>1692.3705</v>
      </c>
      <c r="L450" s="53">
        <v>564.12350000000004</v>
      </c>
      <c r="M450" s="53">
        <v>564.12350000000004</v>
      </c>
      <c r="N450" s="3" t="s">
        <v>69</v>
      </c>
    </row>
    <row r="451" spans="1:14" x14ac:dyDescent="0.25">
      <c r="A451" s="51">
        <v>1.24</v>
      </c>
      <c r="B451" s="53">
        <v>10972.8887</v>
      </c>
      <c r="C451" s="53">
        <v>948.51850000000002</v>
      </c>
      <c r="D451" s="53">
        <v>474.25920000000002</v>
      </c>
      <c r="E451" s="53">
        <v>474.25920000000002</v>
      </c>
      <c r="F451" s="53">
        <v>1897.0369000000001</v>
      </c>
      <c r="G451" s="53">
        <v>948.51850000000002</v>
      </c>
      <c r="H451" s="53">
        <v>948.51850000000002</v>
      </c>
      <c r="I451" s="53">
        <v>1897.0369000000001</v>
      </c>
      <c r="J451" s="53">
        <v>564.12350000000004</v>
      </c>
      <c r="K451" s="53">
        <v>1692.3705</v>
      </c>
      <c r="L451" s="53">
        <v>564.12350000000004</v>
      </c>
      <c r="M451" s="53">
        <v>564.12350000000004</v>
      </c>
      <c r="N451" s="3" t="s">
        <v>69</v>
      </c>
    </row>
    <row r="452" spans="1:14" x14ac:dyDescent="0.25">
      <c r="A452" s="51">
        <v>1.2410000000000001</v>
      </c>
      <c r="B452" s="53">
        <v>10979.0082</v>
      </c>
      <c r="C452" s="53">
        <v>949.28340000000003</v>
      </c>
      <c r="D452" s="53">
        <v>474.64170000000001</v>
      </c>
      <c r="E452" s="53">
        <v>474.64170000000001</v>
      </c>
      <c r="F452" s="53">
        <v>1898.5668000000001</v>
      </c>
      <c r="G452" s="53">
        <v>949.28340000000003</v>
      </c>
      <c r="H452" s="53">
        <v>949.28340000000003</v>
      </c>
      <c r="I452" s="53">
        <v>1898.5668000000001</v>
      </c>
      <c r="J452" s="53">
        <v>564.12350000000004</v>
      </c>
      <c r="K452" s="53">
        <v>1692.3705</v>
      </c>
      <c r="L452" s="53">
        <v>564.12350000000004</v>
      </c>
      <c r="M452" s="53">
        <v>564.12350000000004</v>
      </c>
      <c r="N452" s="3" t="s">
        <v>69</v>
      </c>
    </row>
    <row r="453" spans="1:14" x14ac:dyDescent="0.25">
      <c r="A453" s="51">
        <v>1.242</v>
      </c>
      <c r="B453" s="53">
        <v>10985.127699999999</v>
      </c>
      <c r="C453" s="53">
        <v>950.04830000000004</v>
      </c>
      <c r="D453" s="53">
        <v>475.02420000000001</v>
      </c>
      <c r="E453" s="53">
        <v>475.02420000000001</v>
      </c>
      <c r="F453" s="53">
        <v>1900.0967000000001</v>
      </c>
      <c r="G453" s="53">
        <v>950.04830000000004</v>
      </c>
      <c r="H453" s="53">
        <v>950.04830000000004</v>
      </c>
      <c r="I453" s="53">
        <v>1900.0967000000001</v>
      </c>
      <c r="J453" s="53">
        <v>564.12350000000004</v>
      </c>
      <c r="K453" s="53">
        <v>1692.3705</v>
      </c>
      <c r="L453" s="53">
        <v>564.12350000000004</v>
      </c>
      <c r="M453" s="53">
        <v>564.12350000000004</v>
      </c>
      <c r="N453" s="3" t="s">
        <v>69</v>
      </c>
    </row>
    <row r="454" spans="1:14" x14ac:dyDescent="0.25">
      <c r="A454" s="51">
        <v>1.2430000000000001</v>
      </c>
      <c r="B454" s="53">
        <v>10991.247100000001</v>
      </c>
      <c r="C454" s="53">
        <v>950.81330000000003</v>
      </c>
      <c r="D454" s="53">
        <v>475.40660000000003</v>
      </c>
      <c r="E454" s="53">
        <v>475.40660000000003</v>
      </c>
      <c r="F454" s="53">
        <v>1901.6265000000001</v>
      </c>
      <c r="G454" s="53">
        <v>950.81330000000003</v>
      </c>
      <c r="H454" s="53">
        <v>950.81330000000003</v>
      </c>
      <c r="I454" s="53">
        <v>1901.6265000000001</v>
      </c>
      <c r="J454" s="53">
        <v>564.12350000000004</v>
      </c>
      <c r="K454" s="53">
        <v>1692.3705</v>
      </c>
      <c r="L454" s="53">
        <v>564.12350000000004</v>
      </c>
      <c r="M454" s="53">
        <v>564.12350000000004</v>
      </c>
      <c r="N454" s="3" t="s">
        <v>69</v>
      </c>
    </row>
    <row r="455" spans="1:14" x14ac:dyDescent="0.25">
      <c r="A455" s="51">
        <v>1.244</v>
      </c>
      <c r="B455" s="53">
        <v>10997.366599999999</v>
      </c>
      <c r="C455" s="53">
        <v>951.57820000000004</v>
      </c>
      <c r="D455" s="53">
        <v>475.78910000000002</v>
      </c>
      <c r="E455" s="53">
        <v>475.78910000000002</v>
      </c>
      <c r="F455" s="53">
        <v>1903.1564000000001</v>
      </c>
      <c r="G455" s="53">
        <v>951.57820000000004</v>
      </c>
      <c r="H455" s="53">
        <v>951.57820000000004</v>
      </c>
      <c r="I455" s="53">
        <v>1903.1564000000001</v>
      </c>
      <c r="J455" s="53">
        <v>564.12350000000004</v>
      </c>
      <c r="K455" s="53">
        <v>1692.3705</v>
      </c>
      <c r="L455" s="53">
        <v>564.12350000000004</v>
      </c>
      <c r="M455" s="53">
        <v>564.12350000000004</v>
      </c>
      <c r="N455" s="3" t="s">
        <v>69</v>
      </c>
    </row>
    <row r="456" spans="1:14" x14ac:dyDescent="0.25">
      <c r="A456" s="51">
        <v>1.2450000000000001</v>
      </c>
      <c r="B456" s="53">
        <v>11003.4861</v>
      </c>
      <c r="C456" s="53">
        <v>952.34310000000005</v>
      </c>
      <c r="D456" s="53">
        <v>476.17160000000001</v>
      </c>
      <c r="E456" s="53">
        <v>476.17160000000001</v>
      </c>
      <c r="F456" s="53">
        <v>1904.6863000000001</v>
      </c>
      <c r="G456" s="53">
        <v>952.34310000000005</v>
      </c>
      <c r="H456" s="53">
        <v>952.34310000000005</v>
      </c>
      <c r="I456" s="53">
        <v>1904.6863000000001</v>
      </c>
      <c r="J456" s="53">
        <v>564.12350000000004</v>
      </c>
      <c r="K456" s="53">
        <v>1692.3705</v>
      </c>
      <c r="L456" s="53">
        <v>564.12350000000004</v>
      </c>
      <c r="M456" s="53">
        <v>564.12350000000004</v>
      </c>
      <c r="N456" s="3" t="s">
        <v>69</v>
      </c>
    </row>
    <row r="457" spans="1:14" x14ac:dyDescent="0.25">
      <c r="A457" s="51">
        <v>1.246</v>
      </c>
      <c r="B457" s="53">
        <v>11009.605600000001</v>
      </c>
      <c r="C457" s="53">
        <v>953.10810000000004</v>
      </c>
      <c r="D457" s="53">
        <v>476.55399999999997</v>
      </c>
      <c r="E457" s="53">
        <v>476.55399999999997</v>
      </c>
      <c r="F457" s="53">
        <v>1906.2161000000001</v>
      </c>
      <c r="G457" s="53">
        <v>953.10810000000004</v>
      </c>
      <c r="H457" s="53">
        <v>953.10810000000004</v>
      </c>
      <c r="I457" s="53">
        <v>1906.2161000000001</v>
      </c>
      <c r="J457" s="53">
        <v>564.12350000000004</v>
      </c>
      <c r="K457" s="53">
        <v>1692.3705</v>
      </c>
      <c r="L457" s="53">
        <v>564.12350000000004</v>
      </c>
      <c r="M457" s="53">
        <v>564.12350000000004</v>
      </c>
      <c r="N457" s="3" t="s">
        <v>69</v>
      </c>
    </row>
    <row r="458" spans="1:14" x14ac:dyDescent="0.25">
      <c r="A458" s="51">
        <v>1.2470000000000001</v>
      </c>
      <c r="B458" s="53">
        <v>11015.725</v>
      </c>
      <c r="C458" s="53">
        <v>953.87300000000005</v>
      </c>
      <c r="D458" s="53">
        <v>476.93650000000002</v>
      </c>
      <c r="E458" s="53">
        <v>476.93650000000002</v>
      </c>
      <c r="F458" s="53">
        <v>1907.7460000000001</v>
      </c>
      <c r="G458" s="53">
        <v>953.87300000000005</v>
      </c>
      <c r="H458" s="53">
        <v>953.87300000000005</v>
      </c>
      <c r="I458" s="53">
        <v>1907.7460000000001</v>
      </c>
      <c r="J458" s="53">
        <v>564.12350000000004</v>
      </c>
      <c r="K458" s="53">
        <v>1692.3705</v>
      </c>
      <c r="L458" s="53">
        <v>564.12350000000004</v>
      </c>
      <c r="M458" s="53">
        <v>564.12350000000004</v>
      </c>
      <c r="N458" s="3" t="s">
        <v>69</v>
      </c>
    </row>
    <row r="459" spans="1:14" x14ac:dyDescent="0.25">
      <c r="A459" s="51">
        <v>1.248</v>
      </c>
      <c r="B459" s="53">
        <v>11021.844499999999</v>
      </c>
      <c r="C459" s="53">
        <v>954.63789999999995</v>
      </c>
      <c r="D459" s="53">
        <v>477.31900000000002</v>
      </c>
      <c r="E459" s="53">
        <v>477.31900000000002</v>
      </c>
      <c r="F459" s="53">
        <v>1909.2759000000001</v>
      </c>
      <c r="G459" s="53">
        <v>954.63789999999995</v>
      </c>
      <c r="H459" s="53">
        <v>954.63789999999995</v>
      </c>
      <c r="I459" s="53">
        <v>1909.2759000000001</v>
      </c>
      <c r="J459" s="53">
        <v>564.12350000000004</v>
      </c>
      <c r="K459" s="53">
        <v>1692.3705</v>
      </c>
      <c r="L459" s="53">
        <v>564.12350000000004</v>
      </c>
      <c r="M459" s="53">
        <v>564.12350000000004</v>
      </c>
      <c r="N459" s="3" t="s">
        <v>69</v>
      </c>
    </row>
    <row r="460" spans="1:14" x14ac:dyDescent="0.25">
      <c r="A460" s="51">
        <v>1.2490000000000001</v>
      </c>
      <c r="B460" s="53">
        <v>11027.964</v>
      </c>
      <c r="C460" s="53">
        <v>955.40290000000005</v>
      </c>
      <c r="D460" s="53">
        <v>477.70139999999998</v>
      </c>
      <c r="E460" s="53">
        <v>477.70139999999998</v>
      </c>
      <c r="F460" s="53">
        <v>1910.8056999999999</v>
      </c>
      <c r="G460" s="53">
        <v>955.40290000000005</v>
      </c>
      <c r="H460" s="53">
        <v>955.40290000000005</v>
      </c>
      <c r="I460" s="53">
        <v>1910.8056999999999</v>
      </c>
      <c r="J460" s="53">
        <v>564.12350000000004</v>
      </c>
      <c r="K460" s="53">
        <v>1692.3705</v>
      </c>
      <c r="L460" s="53">
        <v>564.12350000000004</v>
      </c>
      <c r="M460" s="53">
        <v>564.12350000000004</v>
      </c>
      <c r="N460" s="3" t="s">
        <v>69</v>
      </c>
    </row>
    <row r="461" spans="1:14" x14ac:dyDescent="0.25">
      <c r="A461" s="51">
        <v>1.25</v>
      </c>
      <c r="B461" s="53">
        <v>11034.083500000001</v>
      </c>
      <c r="C461" s="53">
        <v>956.16780000000006</v>
      </c>
      <c r="D461" s="53">
        <v>478.08390000000003</v>
      </c>
      <c r="E461" s="53">
        <v>478.08390000000003</v>
      </c>
      <c r="F461" s="53">
        <v>1912.3356000000001</v>
      </c>
      <c r="G461" s="53">
        <v>956.16780000000006</v>
      </c>
      <c r="H461" s="53">
        <v>956.16780000000006</v>
      </c>
      <c r="I461" s="53">
        <v>1912.3356000000001</v>
      </c>
      <c r="J461" s="53">
        <v>564.12350000000004</v>
      </c>
      <c r="K461" s="53">
        <v>1692.3705</v>
      </c>
      <c r="L461" s="53">
        <v>564.12350000000004</v>
      </c>
      <c r="M461" s="53">
        <v>564.12350000000004</v>
      </c>
      <c r="N461" s="3" t="s">
        <v>69</v>
      </c>
    </row>
    <row r="462" spans="1:14" x14ac:dyDescent="0.25">
      <c r="A462" s="51">
        <v>1.2509999999999999</v>
      </c>
      <c r="B462" s="53">
        <v>11040.2029</v>
      </c>
      <c r="C462" s="53">
        <v>956.93269999999995</v>
      </c>
      <c r="D462" s="53">
        <v>478.46640000000002</v>
      </c>
      <c r="E462" s="53">
        <v>478.46640000000002</v>
      </c>
      <c r="F462" s="53">
        <v>1913.8655000000001</v>
      </c>
      <c r="G462" s="53">
        <v>956.93269999999995</v>
      </c>
      <c r="H462" s="53">
        <v>956.93269999999995</v>
      </c>
      <c r="I462" s="53">
        <v>1913.8655000000001</v>
      </c>
      <c r="J462" s="53">
        <v>564.12350000000004</v>
      </c>
      <c r="K462" s="53">
        <v>1692.3705</v>
      </c>
      <c r="L462" s="53">
        <v>564.12350000000004</v>
      </c>
      <c r="M462" s="53">
        <v>564.12350000000004</v>
      </c>
      <c r="N462" s="3" t="s">
        <v>69</v>
      </c>
    </row>
    <row r="463" spans="1:14" x14ac:dyDescent="0.25">
      <c r="A463" s="51">
        <v>1.252</v>
      </c>
      <c r="B463" s="53">
        <v>11046.322399999999</v>
      </c>
      <c r="C463" s="53">
        <v>957.69770000000005</v>
      </c>
      <c r="D463" s="53">
        <v>478.84879999999998</v>
      </c>
      <c r="E463" s="53">
        <v>478.84879999999998</v>
      </c>
      <c r="F463" s="53">
        <v>1915.3954000000001</v>
      </c>
      <c r="G463" s="53">
        <v>957.69770000000005</v>
      </c>
      <c r="H463" s="53">
        <v>957.69770000000005</v>
      </c>
      <c r="I463" s="53">
        <v>1915.3954000000001</v>
      </c>
      <c r="J463" s="53">
        <v>564.12350000000004</v>
      </c>
      <c r="K463" s="53">
        <v>1692.3705</v>
      </c>
      <c r="L463" s="53">
        <v>564.12350000000004</v>
      </c>
      <c r="M463" s="53">
        <v>564.12350000000004</v>
      </c>
      <c r="N463" s="3" t="s">
        <v>69</v>
      </c>
    </row>
    <row r="464" spans="1:14" x14ac:dyDescent="0.25">
      <c r="A464" s="51">
        <v>1.2529999999999999</v>
      </c>
      <c r="B464" s="53">
        <v>11052.4419</v>
      </c>
      <c r="C464" s="53">
        <v>958.46259999999995</v>
      </c>
      <c r="D464" s="53">
        <v>479.23129999999998</v>
      </c>
      <c r="E464" s="53">
        <v>479.23129999999998</v>
      </c>
      <c r="F464" s="53">
        <v>1916.9251999999999</v>
      </c>
      <c r="G464" s="53">
        <v>958.46259999999995</v>
      </c>
      <c r="H464" s="53">
        <v>958.46259999999995</v>
      </c>
      <c r="I464" s="53">
        <v>1916.9251999999999</v>
      </c>
      <c r="J464" s="53">
        <v>564.12350000000004</v>
      </c>
      <c r="K464" s="53">
        <v>1692.3705</v>
      </c>
      <c r="L464" s="53">
        <v>564.12350000000004</v>
      </c>
      <c r="M464" s="53">
        <v>564.12350000000004</v>
      </c>
      <c r="N464" s="3" t="s">
        <v>69</v>
      </c>
    </row>
    <row r="465" spans="1:14" x14ac:dyDescent="0.25">
      <c r="A465" s="51">
        <v>1.254</v>
      </c>
      <c r="B465" s="53">
        <v>11058.561400000001</v>
      </c>
      <c r="C465" s="53">
        <v>959.22749999999996</v>
      </c>
      <c r="D465" s="53">
        <v>479.61380000000003</v>
      </c>
      <c r="E465" s="53">
        <v>479.61380000000003</v>
      </c>
      <c r="F465" s="53">
        <v>1918.4550999999999</v>
      </c>
      <c r="G465" s="53">
        <v>959.22749999999996</v>
      </c>
      <c r="H465" s="53">
        <v>959.22749999999996</v>
      </c>
      <c r="I465" s="53">
        <v>1918.4550999999999</v>
      </c>
      <c r="J465" s="53">
        <v>564.12350000000004</v>
      </c>
      <c r="K465" s="53">
        <v>1692.3705</v>
      </c>
      <c r="L465" s="53">
        <v>564.12350000000004</v>
      </c>
      <c r="M465" s="53">
        <v>564.12350000000004</v>
      </c>
      <c r="N465" s="3" t="s">
        <v>69</v>
      </c>
    </row>
    <row r="466" spans="1:14" x14ac:dyDescent="0.25">
      <c r="A466" s="51">
        <v>1.2549999999999999</v>
      </c>
      <c r="B466" s="53">
        <v>11064.6808</v>
      </c>
      <c r="C466" s="53">
        <v>959.99249999999995</v>
      </c>
      <c r="D466" s="53">
        <v>479.99619999999999</v>
      </c>
      <c r="E466" s="53">
        <v>479.99619999999999</v>
      </c>
      <c r="F466" s="53">
        <v>1919.9849999999999</v>
      </c>
      <c r="G466" s="53">
        <v>959.99249999999995</v>
      </c>
      <c r="H466" s="53">
        <v>959.99249999999995</v>
      </c>
      <c r="I466" s="53">
        <v>1919.9849999999999</v>
      </c>
      <c r="J466" s="53">
        <v>564.12350000000004</v>
      </c>
      <c r="K466" s="53">
        <v>1692.3705</v>
      </c>
      <c r="L466" s="53">
        <v>564.12350000000004</v>
      </c>
      <c r="M466" s="53">
        <v>564.12350000000004</v>
      </c>
      <c r="N466" s="3" t="s">
        <v>69</v>
      </c>
    </row>
    <row r="467" spans="1:14" x14ac:dyDescent="0.25">
      <c r="A467" s="51">
        <v>1.256</v>
      </c>
      <c r="B467" s="53">
        <v>11070.800300000001</v>
      </c>
      <c r="C467" s="53">
        <v>960.75739999999996</v>
      </c>
      <c r="D467" s="53">
        <v>480.37869999999998</v>
      </c>
      <c r="E467" s="53">
        <v>480.37869999999998</v>
      </c>
      <c r="F467" s="53">
        <v>1921.5147999999999</v>
      </c>
      <c r="G467" s="53">
        <v>960.75739999999996</v>
      </c>
      <c r="H467" s="53">
        <v>960.75739999999996</v>
      </c>
      <c r="I467" s="53">
        <v>1921.5147999999999</v>
      </c>
      <c r="J467" s="53">
        <v>564.12350000000004</v>
      </c>
      <c r="K467" s="53">
        <v>1692.3705</v>
      </c>
      <c r="L467" s="53">
        <v>564.12350000000004</v>
      </c>
      <c r="M467" s="53">
        <v>564.12350000000004</v>
      </c>
      <c r="N467" s="3" t="s">
        <v>69</v>
      </c>
    </row>
    <row r="468" spans="1:14" x14ac:dyDescent="0.25">
      <c r="A468" s="51">
        <v>1.2569999999999999</v>
      </c>
      <c r="B468" s="53">
        <v>11076.9198</v>
      </c>
      <c r="C468" s="53">
        <v>961.52229999999997</v>
      </c>
      <c r="D468" s="53">
        <v>480.76119999999997</v>
      </c>
      <c r="E468" s="53">
        <v>480.76119999999997</v>
      </c>
      <c r="F468" s="53">
        <v>1923.0446999999999</v>
      </c>
      <c r="G468" s="53">
        <v>961.52229999999997</v>
      </c>
      <c r="H468" s="53">
        <v>961.52229999999997</v>
      </c>
      <c r="I468" s="53">
        <v>1923.0446999999999</v>
      </c>
      <c r="J468" s="53">
        <v>564.12350000000004</v>
      </c>
      <c r="K468" s="53">
        <v>1692.3705</v>
      </c>
      <c r="L468" s="53">
        <v>564.12350000000004</v>
      </c>
      <c r="M468" s="53">
        <v>564.12350000000004</v>
      </c>
      <c r="N468" s="3" t="s">
        <v>69</v>
      </c>
    </row>
    <row r="469" spans="1:14" x14ac:dyDescent="0.25">
      <c r="A469" s="51">
        <v>1.258</v>
      </c>
      <c r="B469" s="53">
        <v>11083.0393</v>
      </c>
      <c r="C469" s="53">
        <v>962.28729999999996</v>
      </c>
      <c r="D469" s="53">
        <v>481.14359999999999</v>
      </c>
      <c r="E469" s="53">
        <v>481.14359999999999</v>
      </c>
      <c r="F469" s="53">
        <v>1924.5745999999999</v>
      </c>
      <c r="G469" s="53">
        <v>962.28729999999996</v>
      </c>
      <c r="H469" s="53">
        <v>962.28729999999996</v>
      </c>
      <c r="I469" s="53">
        <v>1924.5745999999999</v>
      </c>
      <c r="J469" s="53">
        <v>564.12350000000004</v>
      </c>
      <c r="K469" s="53">
        <v>1692.3705</v>
      </c>
      <c r="L469" s="53">
        <v>564.12350000000004</v>
      </c>
      <c r="M469" s="53">
        <v>564.12350000000004</v>
      </c>
      <c r="N469" s="3" t="s">
        <v>69</v>
      </c>
    </row>
    <row r="470" spans="1:14" x14ac:dyDescent="0.25">
      <c r="A470" s="51">
        <v>1.2589999999999999</v>
      </c>
      <c r="B470" s="53">
        <v>11089.1587</v>
      </c>
      <c r="C470" s="53">
        <v>963.05219999999997</v>
      </c>
      <c r="D470" s="53">
        <v>481.52609999999999</v>
      </c>
      <c r="E470" s="53">
        <v>481.52609999999999</v>
      </c>
      <c r="F470" s="53">
        <v>1926.1043999999999</v>
      </c>
      <c r="G470" s="53">
        <v>963.05219999999997</v>
      </c>
      <c r="H470" s="53">
        <v>963.05219999999997</v>
      </c>
      <c r="I470" s="53">
        <v>1926.1043999999999</v>
      </c>
      <c r="J470" s="53">
        <v>564.12350000000004</v>
      </c>
      <c r="K470" s="53">
        <v>1692.3705</v>
      </c>
      <c r="L470" s="53">
        <v>564.12350000000004</v>
      </c>
      <c r="M470" s="53">
        <v>564.12350000000004</v>
      </c>
      <c r="N470" s="3" t="s">
        <v>69</v>
      </c>
    </row>
    <row r="471" spans="1:14" x14ac:dyDescent="0.25">
      <c r="A471" s="51">
        <v>1.26</v>
      </c>
      <c r="B471" s="53">
        <v>11095.278200000001</v>
      </c>
      <c r="C471" s="53">
        <v>963.81719999999996</v>
      </c>
      <c r="D471" s="53">
        <v>481.90859999999998</v>
      </c>
      <c r="E471" s="53">
        <v>481.90859999999998</v>
      </c>
      <c r="F471" s="53">
        <v>1927.6342999999999</v>
      </c>
      <c r="G471" s="53">
        <v>963.81719999999996</v>
      </c>
      <c r="H471" s="53">
        <v>963.81719999999996</v>
      </c>
      <c r="I471" s="53">
        <v>1927.6342999999999</v>
      </c>
      <c r="J471" s="53">
        <v>564.12350000000004</v>
      </c>
      <c r="K471" s="53">
        <v>1692.3705</v>
      </c>
      <c r="L471" s="53">
        <v>564.12350000000004</v>
      </c>
      <c r="M471" s="53">
        <v>564.12350000000004</v>
      </c>
      <c r="N471" s="3" t="s">
        <v>69</v>
      </c>
    </row>
    <row r="472" spans="1:14" x14ac:dyDescent="0.25">
      <c r="A472" s="51">
        <v>1.2609999999999999</v>
      </c>
      <c r="B472" s="53">
        <v>11101.3977</v>
      </c>
      <c r="C472" s="53">
        <v>964.58209999999997</v>
      </c>
      <c r="D472" s="53">
        <v>482.291</v>
      </c>
      <c r="E472" s="53">
        <v>482.291</v>
      </c>
      <c r="F472" s="53">
        <v>1929.1641999999999</v>
      </c>
      <c r="G472" s="53">
        <v>964.58209999999997</v>
      </c>
      <c r="H472" s="53">
        <v>964.58209999999997</v>
      </c>
      <c r="I472" s="53">
        <v>1929.1641999999999</v>
      </c>
      <c r="J472" s="53">
        <v>564.12350000000004</v>
      </c>
      <c r="K472" s="53">
        <v>1692.3705</v>
      </c>
      <c r="L472" s="53">
        <v>564.12350000000004</v>
      </c>
      <c r="M472" s="53">
        <v>564.12350000000004</v>
      </c>
      <c r="N472" s="3" t="s">
        <v>69</v>
      </c>
    </row>
    <row r="473" spans="1:14" x14ac:dyDescent="0.25">
      <c r="A473" s="51">
        <v>1.262</v>
      </c>
      <c r="B473" s="53">
        <v>11107.517099999999</v>
      </c>
      <c r="C473" s="53">
        <v>965.34699999999998</v>
      </c>
      <c r="D473" s="53">
        <v>482.67349999999999</v>
      </c>
      <c r="E473" s="53">
        <v>482.67349999999999</v>
      </c>
      <c r="F473" s="53">
        <v>1930.694</v>
      </c>
      <c r="G473" s="53">
        <v>965.34699999999998</v>
      </c>
      <c r="H473" s="53">
        <v>965.34699999999998</v>
      </c>
      <c r="I473" s="53">
        <v>1930.694</v>
      </c>
      <c r="J473" s="53">
        <v>564.12350000000004</v>
      </c>
      <c r="K473" s="53">
        <v>1692.3705</v>
      </c>
      <c r="L473" s="53">
        <v>564.12350000000004</v>
      </c>
      <c r="M473" s="53">
        <v>564.12350000000004</v>
      </c>
      <c r="N473" s="3" t="s">
        <v>69</v>
      </c>
    </row>
    <row r="474" spans="1:14" x14ac:dyDescent="0.25">
      <c r="A474" s="51">
        <v>1.2629999999999999</v>
      </c>
      <c r="B474" s="53">
        <v>11113.6366</v>
      </c>
      <c r="C474" s="53">
        <v>966.11199999999997</v>
      </c>
      <c r="D474" s="53">
        <v>483.05599999999998</v>
      </c>
      <c r="E474" s="53">
        <v>483.05599999999998</v>
      </c>
      <c r="F474" s="53">
        <v>1932.2239</v>
      </c>
      <c r="G474" s="53">
        <v>966.11199999999997</v>
      </c>
      <c r="H474" s="53">
        <v>966.11199999999997</v>
      </c>
      <c r="I474" s="53">
        <v>1932.2239</v>
      </c>
      <c r="J474" s="53">
        <v>564.12350000000004</v>
      </c>
      <c r="K474" s="53">
        <v>1692.3705</v>
      </c>
      <c r="L474" s="53">
        <v>564.12350000000004</v>
      </c>
      <c r="M474" s="53">
        <v>564.12350000000004</v>
      </c>
      <c r="N474" s="3" t="s">
        <v>69</v>
      </c>
    </row>
    <row r="475" spans="1:14" x14ac:dyDescent="0.25">
      <c r="A475" s="51">
        <v>1.264</v>
      </c>
      <c r="B475" s="53">
        <v>11119.756100000001</v>
      </c>
      <c r="C475" s="53">
        <v>966.87689999999998</v>
      </c>
      <c r="D475" s="53">
        <v>483.4384</v>
      </c>
      <c r="E475" s="53">
        <v>483.4384</v>
      </c>
      <c r="F475" s="53">
        <v>1933.7538</v>
      </c>
      <c r="G475" s="53">
        <v>966.87689999999998</v>
      </c>
      <c r="H475" s="53">
        <v>966.87689999999998</v>
      </c>
      <c r="I475" s="53">
        <v>1933.7538</v>
      </c>
      <c r="J475" s="53">
        <v>564.12350000000004</v>
      </c>
      <c r="K475" s="53">
        <v>1692.3705</v>
      </c>
      <c r="L475" s="53">
        <v>564.12350000000004</v>
      </c>
      <c r="M475" s="53">
        <v>564.12350000000004</v>
      </c>
      <c r="N475" s="3" t="s">
        <v>69</v>
      </c>
    </row>
    <row r="476" spans="1:14" x14ac:dyDescent="0.25">
      <c r="A476" s="51">
        <v>1.2649999999999999</v>
      </c>
      <c r="B476" s="53">
        <v>11125.875599999999</v>
      </c>
      <c r="C476" s="53">
        <v>967.64179999999999</v>
      </c>
      <c r="D476" s="53">
        <v>483.82089999999999</v>
      </c>
      <c r="E476" s="53">
        <v>483.82089999999999</v>
      </c>
      <c r="F476" s="53">
        <v>1935.2836</v>
      </c>
      <c r="G476" s="53">
        <v>967.64179999999999</v>
      </c>
      <c r="H476" s="53">
        <v>967.64179999999999</v>
      </c>
      <c r="I476" s="53">
        <v>1935.2836</v>
      </c>
      <c r="J476" s="53">
        <v>564.12350000000004</v>
      </c>
      <c r="K476" s="53">
        <v>1692.3705</v>
      </c>
      <c r="L476" s="53">
        <v>564.12350000000004</v>
      </c>
      <c r="M476" s="53">
        <v>564.12350000000004</v>
      </c>
      <c r="N476" s="3" t="s">
        <v>69</v>
      </c>
    </row>
    <row r="477" spans="1:14" x14ac:dyDescent="0.25">
      <c r="A477" s="51">
        <v>1.266</v>
      </c>
      <c r="B477" s="53">
        <v>11131.995000000001</v>
      </c>
      <c r="C477" s="53">
        <v>968.40679999999998</v>
      </c>
      <c r="D477" s="53">
        <v>484.20339999999999</v>
      </c>
      <c r="E477" s="53">
        <v>484.20339999999999</v>
      </c>
      <c r="F477" s="53">
        <v>1936.8135</v>
      </c>
      <c r="G477" s="53">
        <v>968.40679999999998</v>
      </c>
      <c r="H477" s="53">
        <v>968.40679999999998</v>
      </c>
      <c r="I477" s="53">
        <v>1936.8135</v>
      </c>
      <c r="J477" s="53">
        <v>564.12350000000004</v>
      </c>
      <c r="K477" s="53">
        <v>1692.3705</v>
      </c>
      <c r="L477" s="53">
        <v>564.12350000000004</v>
      </c>
      <c r="M477" s="53">
        <v>564.12350000000004</v>
      </c>
      <c r="N477" s="3" t="s">
        <v>69</v>
      </c>
    </row>
    <row r="478" spans="1:14" x14ac:dyDescent="0.25">
      <c r="A478" s="51">
        <v>1.2669999999999999</v>
      </c>
      <c r="B478" s="53">
        <v>11138.1145</v>
      </c>
      <c r="C478" s="53">
        <v>969.17169999999999</v>
      </c>
      <c r="D478" s="53">
        <v>484.58580000000001</v>
      </c>
      <c r="E478" s="53">
        <v>484.58580000000001</v>
      </c>
      <c r="F478" s="53">
        <v>1938.3434</v>
      </c>
      <c r="G478" s="53">
        <v>969.17169999999999</v>
      </c>
      <c r="H478" s="53">
        <v>969.17169999999999</v>
      </c>
      <c r="I478" s="53">
        <v>1938.3434</v>
      </c>
      <c r="J478" s="53">
        <v>564.12350000000004</v>
      </c>
      <c r="K478" s="53">
        <v>1692.3705</v>
      </c>
      <c r="L478" s="53">
        <v>564.12350000000004</v>
      </c>
      <c r="M478" s="53">
        <v>564.12350000000004</v>
      </c>
      <c r="N478" s="3" t="s">
        <v>69</v>
      </c>
    </row>
    <row r="479" spans="1:14" x14ac:dyDescent="0.25">
      <c r="A479" s="51">
        <v>1.268</v>
      </c>
      <c r="B479" s="53">
        <v>11144.234</v>
      </c>
      <c r="C479" s="53">
        <v>969.9366</v>
      </c>
      <c r="D479" s="53">
        <v>484.9683</v>
      </c>
      <c r="E479" s="53">
        <v>484.9683</v>
      </c>
      <c r="F479" s="53">
        <v>1939.8732</v>
      </c>
      <c r="G479" s="53">
        <v>969.9366</v>
      </c>
      <c r="H479" s="53">
        <v>969.9366</v>
      </c>
      <c r="I479" s="53">
        <v>1939.8732</v>
      </c>
      <c r="J479" s="53">
        <v>564.12350000000004</v>
      </c>
      <c r="K479" s="53">
        <v>1692.3705</v>
      </c>
      <c r="L479" s="53">
        <v>564.12350000000004</v>
      </c>
      <c r="M479" s="53">
        <v>564.12350000000004</v>
      </c>
      <c r="N479" s="3" t="s">
        <v>69</v>
      </c>
    </row>
    <row r="480" spans="1:14" x14ac:dyDescent="0.25">
      <c r="A480" s="51">
        <v>1.2689999999999999</v>
      </c>
      <c r="B480" s="53">
        <v>11150.353499999999</v>
      </c>
      <c r="C480" s="53">
        <v>970.70159999999998</v>
      </c>
      <c r="D480" s="53">
        <v>485.35079999999999</v>
      </c>
      <c r="E480" s="53">
        <v>485.35079999999999</v>
      </c>
      <c r="F480" s="53">
        <v>1941.4031</v>
      </c>
      <c r="G480" s="53">
        <v>970.70159999999998</v>
      </c>
      <c r="H480" s="53">
        <v>970.70159999999998</v>
      </c>
      <c r="I480" s="53">
        <v>1941.4031</v>
      </c>
      <c r="J480" s="53">
        <v>564.12350000000004</v>
      </c>
      <c r="K480" s="53">
        <v>1692.3705</v>
      </c>
      <c r="L480" s="53">
        <v>564.12350000000004</v>
      </c>
      <c r="M480" s="53">
        <v>564.12350000000004</v>
      </c>
      <c r="N480" s="3" t="s">
        <v>69</v>
      </c>
    </row>
    <row r="481" spans="1:14" x14ac:dyDescent="0.25">
      <c r="A481" s="51">
        <v>1.27</v>
      </c>
      <c r="B481" s="53">
        <v>11156.472900000001</v>
      </c>
      <c r="C481" s="53">
        <v>971.4665</v>
      </c>
      <c r="D481" s="53">
        <v>485.73320000000001</v>
      </c>
      <c r="E481" s="53">
        <v>485.73320000000001</v>
      </c>
      <c r="F481" s="53">
        <v>1942.933</v>
      </c>
      <c r="G481" s="53">
        <v>971.4665</v>
      </c>
      <c r="H481" s="53">
        <v>971.4665</v>
      </c>
      <c r="I481" s="53">
        <v>1942.933</v>
      </c>
      <c r="J481" s="53">
        <v>564.12350000000004</v>
      </c>
      <c r="K481" s="53">
        <v>1692.3705</v>
      </c>
      <c r="L481" s="53">
        <v>564.12350000000004</v>
      </c>
      <c r="M481" s="53">
        <v>564.12350000000004</v>
      </c>
      <c r="N481" s="3" t="s">
        <v>69</v>
      </c>
    </row>
    <row r="482" spans="1:14" x14ac:dyDescent="0.25">
      <c r="A482" s="51">
        <v>1.2709999999999999</v>
      </c>
      <c r="B482" s="53">
        <v>11162.5924</v>
      </c>
      <c r="C482" s="53">
        <v>972.23140000000001</v>
      </c>
      <c r="D482" s="53">
        <v>486.1157</v>
      </c>
      <c r="E482" s="53">
        <v>486.1157</v>
      </c>
      <c r="F482" s="53">
        <v>1944.4629</v>
      </c>
      <c r="G482" s="53">
        <v>972.23140000000001</v>
      </c>
      <c r="H482" s="53">
        <v>972.23140000000001</v>
      </c>
      <c r="I482" s="53">
        <v>1944.4629</v>
      </c>
      <c r="J482" s="53">
        <v>564.12350000000004</v>
      </c>
      <c r="K482" s="53">
        <v>1692.3705</v>
      </c>
      <c r="L482" s="53">
        <v>564.12350000000004</v>
      </c>
      <c r="M482" s="53">
        <v>564.12350000000004</v>
      </c>
      <c r="N482" s="3" t="s">
        <v>69</v>
      </c>
    </row>
    <row r="483" spans="1:14" x14ac:dyDescent="0.25">
      <c r="A483" s="51">
        <v>1.272</v>
      </c>
      <c r="B483" s="53">
        <v>11168.7119</v>
      </c>
      <c r="C483" s="53">
        <v>972.99639999999999</v>
      </c>
      <c r="D483" s="53">
        <v>486.4982</v>
      </c>
      <c r="E483" s="53">
        <v>486.4982</v>
      </c>
      <c r="F483" s="53">
        <v>1945.9927</v>
      </c>
      <c r="G483" s="53">
        <v>972.99639999999999</v>
      </c>
      <c r="H483" s="53">
        <v>972.99639999999999</v>
      </c>
      <c r="I483" s="53">
        <v>1945.9927</v>
      </c>
      <c r="J483" s="53">
        <v>564.12350000000004</v>
      </c>
      <c r="K483" s="53">
        <v>1692.3705</v>
      </c>
      <c r="L483" s="53">
        <v>564.12350000000004</v>
      </c>
      <c r="M483" s="53">
        <v>564.12350000000004</v>
      </c>
      <c r="N483" s="3" t="s">
        <v>69</v>
      </c>
    </row>
    <row r="484" spans="1:14" x14ac:dyDescent="0.25">
      <c r="A484" s="51">
        <v>1.2729999999999999</v>
      </c>
      <c r="B484" s="53">
        <v>11174.831399999999</v>
      </c>
      <c r="C484" s="53">
        <v>973.76130000000001</v>
      </c>
      <c r="D484" s="53">
        <v>486.88060000000002</v>
      </c>
      <c r="E484" s="53">
        <v>486.88060000000002</v>
      </c>
      <c r="F484" s="53">
        <v>1947.5226</v>
      </c>
      <c r="G484" s="53">
        <v>973.76130000000001</v>
      </c>
      <c r="H484" s="53">
        <v>973.76130000000001</v>
      </c>
      <c r="I484" s="53">
        <v>1947.5226</v>
      </c>
      <c r="J484" s="53">
        <v>564.12350000000004</v>
      </c>
      <c r="K484" s="53">
        <v>1692.3705</v>
      </c>
      <c r="L484" s="53">
        <v>564.12350000000004</v>
      </c>
      <c r="M484" s="53">
        <v>564.12350000000004</v>
      </c>
      <c r="N484" s="3" t="s">
        <v>69</v>
      </c>
    </row>
    <row r="485" spans="1:14" x14ac:dyDescent="0.25">
      <c r="A485" s="51">
        <v>1.274</v>
      </c>
      <c r="B485" s="53">
        <v>11180.950800000001</v>
      </c>
      <c r="C485" s="53">
        <v>974.52620000000002</v>
      </c>
      <c r="D485" s="53">
        <v>487.26310000000001</v>
      </c>
      <c r="E485" s="53">
        <v>487.26310000000001</v>
      </c>
      <c r="F485" s="53">
        <v>1949.0525</v>
      </c>
      <c r="G485" s="53">
        <v>974.52620000000002</v>
      </c>
      <c r="H485" s="53">
        <v>974.52620000000002</v>
      </c>
      <c r="I485" s="53">
        <v>1949.0525</v>
      </c>
      <c r="J485" s="53">
        <v>564.12350000000004</v>
      </c>
      <c r="K485" s="53">
        <v>1692.3705</v>
      </c>
      <c r="L485" s="53">
        <v>564.12350000000004</v>
      </c>
      <c r="M485" s="53">
        <v>564.12350000000004</v>
      </c>
      <c r="N485" s="3" t="s">
        <v>69</v>
      </c>
    </row>
    <row r="486" spans="1:14" x14ac:dyDescent="0.25">
      <c r="A486" s="51">
        <v>1.2749999999999999</v>
      </c>
      <c r="B486" s="53">
        <v>11187.070299999999</v>
      </c>
      <c r="C486" s="53">
        <v>975.2912</v>
      </c>
      <c r="D486" s="53">
        <v>487.6456</v>
      </c>
      <c r="E486" s="53">
        <v>487.6456</v>
      </c>
      <c r="F486" s="53">
        <v>1950.5823</v>
      </c>
      <c r="G486" s="53">
        <v>975.2912</v>
      </c>
      <c r="H486" s="53">
        <v>975.2912</v>
      </c>
      <c r="I486" s="53">
        <v>1950.5823</v>
      </c>
      <c r="J486" s="53">
        <v>564.12350000000004</v>
      </c>
      <c r="K486" s="53">
        <v>1692.3705</v>
      </c>
      <c r="L486" s="53">
        <v>564.12350000000004</v>
      </c>
      <c r="M486" s="53">
        <v>564.12350000000004</v>
      </c>
      <c r="N486" s="3" t="s">
        <v>69</v>
      </c>
    </row>
    <row r="487" spans="1:14" x14ac:dyDescent="0.25">
      <c r="A487" s="51">
        <v>1.276</v>
      </c>
      <c r="B487" s="53">
        <v>11193.1898</v>
      </c>
      <c r="C487" s="53">
        <v>976.05610000000001</v>
      </c>
      <c r="D487" s="53">
        <v>488.02800000000002</v>
      </c>
      <c r="E487" s="53">
        <v>488.02800000000002</v>
      </c>
      <c r="F487" s="53">
        <v>1952.1122</v>
      </c>
      <c r="G487" s="53">
        <v>976.05610000000001</v>
      </c>
      <c r="H487" s="53">
        <v>976.05610000000001</v>
      </c>
      <c r="I487" s="53">
        <v>1952.1122</v>
      </c>
      <c r="J487" s="53">
        <v>564.12350000000004</v>
      </c>
      <c r="K487" s="53">
        <v>1692.3705</v>
      </c>
      <c r="L487" s="53">
        <v>564.12350000000004</v>
      </c>
      <c r="M487" s="53">
        <v>564.12350000000004</v>
      </c>
      <c r="N487" s="3" t="s">
        <v>69</v>
      </c>
    </row>
    <row r="488" spans="1:14" x14ac:dyDescent="0.25">
      <c r="A488" s="51">
        <v>1.2769999999999999</v>
      </c>
      <c r="B488" s="53">
        <v>11199.309300000001</v>
      </c>
      <c r="C488" s="53">
        <v>976.82100000000003</v>
      </c>
      <c r="D488" s="53">
        <v>488.41050000000001</v>
      </c>
      <c r="E488" s="53">
        <v>488.41050000000001</v>
      </c>
      <c r="F488" s="53">
        <v>1953.6421</v>
      </c>
      <c r="G488" s="53">
        <v>976.82100000000003</v>
      </c>
      <c r="H488" s="53">
        <v>976.82100000000003</v>
      </c>
      <c r="I488" s="53">
        <v>1953.6421</v>
      </c>
      <c r="J488" s="53">
        <v>564.12350000000004</v>
      </c>
      <c r="K488" s="53">
        <v>1692.3705</v>
      </c>
      <c r="L488" s="53">
        <v>564.12350000000004</v>
      </c>
      <c r="M488" s="53">
        <v>564.12350000000004</v>
      </c>
      <c r="N488" s="3" t="s">
        <v>69</v>
      </c>
    </row>
    <row r="489" spans="1:14" x14ac:dyDescent="0.25">
      <c r="A489" s="51">
        <v>1.278</v>
      </c>
      <c r="B489" s="53">
        <v>11205.4287</v>
      </c>
      <c r="C489" s="53">
        <v>977.58600000000001</v>
      </c>
      <c r="D489" s="53">
        <v>488.79300000000001</v>
      </c>
      <c r="E489" s="53">
        <v>488.79300000000001</v>
      </c>
      <c r="F489" s="53">
        <v>1955.1719000000001</v>
      </c>
      <c r="G489" s="53">
        <v>977.58600000000001</v>
      </c>
      <c r="H489" s="53">
        <v>977.58600000000001</v>
      </c>
      <c r="I489" s="53">
        <v>1955.1719000000001</v>
      </c>
      <c r="J489" s="53">
        <v>564.12350000000004</v>
      </c>
      <c r="K489" s="53">
        <v>1692.3705</v>
      </c>
      <c r="L489" s="53">
        <v>564.12350000000004</v>
      </c>
      <c r="M489" s="53">
        <v>564.12350000000004</v>
      </c>
      <c r="N489" s="3" t="s">
        <v>69</v>
      </c>
    </row>
    <row r="490" spans="1:14" x14ac:dyDescent="0.25">
      <c r="A490" s="51">
        <v>1.2789999999999999</v>
      </c>
      <c r="B490" s="53">
        <v>11211.548199999999</v>
      </c>
      <c r="C490" s="53">
        <v>978.35090000000002</v>
      </c>
      <c r="D490" s="53">
        <v>489.1755</v>
      </c>
      <c r="E490" s="53">
        <v>489.1755</v>
      </c>
      <c r="F490" s="53">
        <v>1956.7018</v>
      </c>
      <c r="G490" s="53">
        <v>978.35090000000002</v>
      </c>
      <c r="H490" s="53">
        <v>978.35090000000002</v>
      </c>
      <c r="I490" s="53">
        <v>1956.7018</v>
      </c>
      <c r="J490" s="53">
        <v>564.12350000000004</v>
      </c>
      <c r="K490" s="53">
        <v>1692.3705</v>
      </c>
      <c r="L490" s="53">
        <v>564.12350000000004</v>
      </c>
      <c r="M490" s="53">
        <v>564.12350000000004</v>
      </c>
      <c r="N490" s="3" t="s">
        <v>69</v>
      </c>
    </row>
    <row r="491" spans="1:14" x14ac:dyDescent="0.25">
      <c r="A491" s="51">
        <v>1.28</v>
      </c>
      <c r="B491" s="53">
        <v>11217.6677</v>
      </c>
      <c r="C491" s="53">
        <v>979.11580000000004</v>
      </c>
      <c r="D491" s="53">
        <v>489.55790000000002</v>
      </c>
      <c r="E491" s="53">
        <v>489.55790000000002</v>
      </c>
      <c r="F491" s="53">
        <v>1958.2317</v>
      </c>
      <c r="G491" s="53">
        <v>979.11580000000004</v>
      </c>
      <c r="H491" s="53">
        <v>979.11580000000004</v>
      </c>
      <c r="I491" s="53">
        <v>1958.2317</v>
      </c>
      <c r="J491" s="53">
        <v>564.12350000000004</v>
      </c>
      <c r="K491" s="53">
        <v>1692.3705</v>
      </c>
      <c r="L491" s="53">
        <v>564.12350000000004</v>
      </c>
      <c r="M491" s="53">
        <v>564.12350000000004</v>
      </c>
      <c r="N491" s="3" t="s">
        <v>69</v>
      </c>
    </row>
    <row r="492" spans="1:14" x14ac:dyDescent="0.25">
      <c r="A492" s="51">
        <v>1.2809999999999999</v>
      </c>
      <c r="B492" s="53">
        <v>11223.787200000001</v>
      </c>
      <c r="C492" s="53">
        <v>979.88080000000002</v>
      </c>
      <c r="D492" s="53">
        <v>489.94040000000001</v>
      </c>
      <c r="E492" s="53">
        <v>489.94040000000001</v>
      </c>
      <c r="F492" s="53">
        <v>1959.7615000000001</v>
      </c>
      <c r="G492" s="53">
        <v>979.88080000000002</v>
      </c>
      <c r="H492" s="53">
        <v>979.88080000000002</v>
      </c>
      <c r="I492" s="53">
        <v>1959.7615000000001</v>
      </c>
      <c r="J492" s="53">
        <v>564.12350000000004</v>
      </c>
      <c r="K492" s="53">
        <v>1692.3705</v>
      </c>
      <c r="L492" s="53">
        <v>564.12350000000004</v>
      </c>
      <c r="M492" s="53">
        <v>564.12350000000004</v>
      </c>
      <c r="N492" s="3" t="s">
        <v>69</v>
      </c>
    </row>
    <row r="493" spans="1:14" x14ac:dyDescent="0.25">
      <c r="A493" s="51">
        <v>1.282</v>
      </c>
      <c r="B493" s="53">
        <v>11229.9066</v>
      </c>
      <c r="C493" s="53">
        <v>980.64570000000003</v>
      </c>
      <c r="D493" s="53">
        <v>490.3229</v>
      </c>
      <c r="E493" s="53">
        <v>490.3229</v>
      </c>
      <c r="F493" s="53">
        <v>1961.2914000000001</v>
      </c>
      <c r="G493" s="53">
        <v>980.64570000000003</v>
      </c>
      <c r="H493" s="53">
        <v>980.64570000000003</v>
      </c>
      <c r="I493" s="53">
        <v>1961.2914000000001</v>
      </c>
      <c r="J493" s="53">
        <v>564.12350000000004</v>
      </c>
      <c r="K493" s="53">
        <v>1692.3705</v>
      </c>
      <c r="L493" s="53">
        <v>564.12350000000004</v>
      </c>
      <c r="M493" s="53">
        <v>564.12350000000004</v>
      </c>
      <c r="N493" s="3" t="s">
        <v>69</v>
      </c>
    </row>
    <row r="494" spans="1:14" x14ac:dyDescent="0.25">
      <c r="A494" s="51">
        <v>1.2829999999999999</v>
      </c>
      <c r="B494" s="53">
        <v>11236.026099999999</v>
      </c>
      <c r="C494" s="53">
        <v>981.41060000000004</v>
      </c>
      <c r="D494" s="53">
        <v>490.70530000000002</v>
      </c>
      <c r="E494" s="53">
        <v>490.70530000000002</v>
      </c>
      <c r="F494" s="53">
        <v>1962.8213000000001</v>
      </c>
      <c r="G494" s="53">
        <v>981.41060000000004</v>
      </c>
      <c r="H494" s="53">
        <v>981.41060000000004</v>
      </c>
      <c r="I494" s="53">
        <v>1962.8213000000001</v>
      </c>
      <c r="J494" s="53">
        <v>564.12350000000004</v>
      </c>
      <c r="K494" s="53">
        <v>1692.3705</v>
      </c>
      <c r="L494" s="53">
        <v>564.12350000000004</v>
      </c>
      <c r="M494" s="53">
        <v>564.12350000000004</v>
      </c>
      <c r="N494" s="3" t="s">
        <v>69</v>
      </c>
    </row>
    <row r="495" spans="1:14" x14ac:dyDescent="0.25">
      <c r="A495" s="51">
        <v>1.284</v>
      </c>
      <c r="B495" s="53">
        <v>11242.1456</v>
      </c>
      <c r="C495" s="53">
        <v>982.17560000000003</v>
      </c>
      <c r="D495" s="53">
        <v>491.08780000000002</v>
      </c>
      <c r="E495" s="53">
        <v>491.08780000000002</v>
      </c>
      <c r="F495" s="53">
        <v>1964.3511000000001</v>
      </c>
      <c r="G495" s="53">
        <v>982.17560000000003</v>
      </c>
      <c r="H495" s="53">
        <v>982.17560000000003</v>
      </c>
      <c r="I495" s="53">
        <v>1964.3511000000001</v>
      </c>
      <c r="J495" s="53">
        <v>564.12350000000004</v>
      </c>
      <c r="K495" s="53">
        <v>1692.3705</v>
      </c>
      <c r="L495" s="53">
        <v>564.12350000000004</v>
      </c>
      <c r="M495" s="53">
        <v>564.12350000000004</v>
      </c>
      <c r="N495" s="3" t="s">
        <v>69</v>
      </c>
    </row>
    <row r="496" spans="1:14" x14ac:dyDescent="0.25">
      <c r="A496" s="51">
        <v>1.2849999999999999</v>
      </c>
      <c r="B496" s="53">
        <v>11248.265100000001</v>
      </c>
      <c r="C496" s="53">
        <v>982.94050000000004</v>
      </c>
      <c r="D496" s="53">
        <v>491.47030000000001</v>
      </c>
      <c r="E496" s="53">
        <v>491.47030000000001</v>
      </c>
      <c r="F496" s="53">
        <v>1965.8810000000001</v>
      </c>
      <c r="G496" s="53">
        <v>982.94050000000004</v>
      </c>
      <c r="H496" s="53">
        <v>982.94050000000004</v>
      </c>
      <c r="I496" s="53">
        <v>1965.8810000000001</v>
      </c>
      <c r="J496" s="53">
        <v>564.12350000000004</v>
      </c>
      <c r="K496" s="53">
        <v>1692.3705</v>
      </c>
      <c r="L496" s="53">
        <v>564.12350000000004</v>
      </c>
      <c r="M496" s="53">
        <v>564.12350000000004</v>
      </c>
      <c r="N496" s="3" t="s">
        <v>69</v>
      </c>
    </row>
    <row r="497" spans="1:14" x14ac:dyDescent="0.25">
      <c r="A497" s="51">
        <v>1.286</v>
      </c>
      <c r="B497" s="53">
        <v>11254.3845</v>
      </c>
      <c r="C497" s="53">
        <v>983.70540000000005</v>
      </c>
      <c r="D497" s="53">
        <v>491.85270000000003</v>
      </c>
      <c r="E497" s="53">
        <v>491.85270000000003</v>
      </c>
      <c r="F497" s="53">
        <v>1967.4109000000001</v>
      </c>
      <c r="G497" s="53">
        <v>983.70540000000005</v>
      </c>
      <c r="H497" s="53">
        <v>983.70540000000005</v>
      </c>
      <c r="I497" s="53">
        <v>1967.4109000000001</v>
      </c>
      <c r="J497" s="53">
        <v>564.12350000000004</v>
      </c>
      <c r="K497" s="53">
        <v>1692.3705</v>
      </c>
      <c r="L497" s="53">
        <v>564.12350000000004</v>
      </c>
      <c r="M497" s="53">
        <v>564.12350000000004</v>
      </c>
      <c r="N497" s="3" t="s">
        <v>69</v>
      </c>
    </row>
    <row r="498" spans="1:14" x14ac:dyDescent="0.25">
      <c r="A498" s="51">
        <v>1.2869999999999999</v>
      </c>
      <c r="B498" s="53">
        <v>11260.504000000001</v>
      </c>
      <c r="C498" s="53">
        <v>984.47040000000004</v>
      </c>
      <c r="D498" s="53">
        <v>492.23520000000002</v>
      </c>
      <c r="E498" s="53">
        <v>492.23520000000002</v>
      </c>
      <c r="F498" s="53">
        <v>1968.9408000000001</v>
      </c>
      <c r="G498" s="53">
        <v>984.47040000000004</v>
      </c>
      <c r="H498" s="53">
        <v>984.47040000000004</v>
      </c>
      <c r="I498" s="53">
        <v>1968.9408000000001</v>
      </c>
      <c r="J498" s="53">
        <v>564.12350000000004</v>
      </c>
      <c r="K498" s="53">
        <v>1692.3705</v>
      </c>
      <c r="L498" s="53">
        <v>564.12350000000004</v>
      </c>
      <c r="M498" s="53">
        <v>564.12350000000004</v>
      </c>
      <c r="N498" s="3" t="s">
        <v>69</v>
      </c>
    </row>
    <row r="499" spans="1:14" x14ac:dyDescent="0.25">
      <c r="A499" s="51">
        <v>1.288</v>
      </c>
      <c r="B499" s="53">
        <v>11266.6235</v>
      </c>
      <c r="C499" s="53">
        <v>985.23530000000005</v>
      </c>
      <c r="D499" s="53">
        <v>492.61770000000001</v>
      </c>
      <c r="E499" s="53">
        <v>492.61770000000001</v>
      </c>
      <c r="F499" s="53">
        <v>1970.4706000000001</v>
      </c>
      <c r="G499" s="53">
        <v>985.23530000000005</v>
      </c>
      <c r="H499" s="53">
        <v>985.23530000000005</v>
      </c>
      <c r="I499" s="53">
        <v>1970.4706000000001</v>
      </c>
      <c r="J499" s="53">
        <v>564.12350000000004</v>
      </c>
      <c r="K499" s="53">
        <v>1692.3705</v>
      </c>
      <c r="L499" s="53">
        <v>564.12350000000004</v>
      </c>
      <c r="M499" s="53">
        <v>564.12350000000004</v>
      </c>
      <c r="N499" s="3" t="s">
        <v>69</v>
      </c>
    </row>
    <row r="500" spans="1:14" x14ac:dyDescent="0.25">
      <c r="A500" s="51">
        <v>1.2889999999999999</v>
      </c>
      <c r="B500" s="53">
        <v>11272.742899999999</v>
      </c>
      <c r="C500" s="53">
        <v>986.00019999999995</v>
      </c>
      <c r="D500" s="53">
        <v>493.00009999999997</v>
      </c>
      <c r="E500" s="53">
        <v>493.00009999999997</v>
      </c>
      <c r="F500" s="53">
        <v>1972.0005000000001</v>
      </c>
      <c r="G500" s="53">
        <v>986.00019999999995</v>
      </c>
      <c r="H500" s="53">
        <v>986.00019999999995</v>
      </c>
      <c r="I500" s="53">
        <v>1972.0005000000001</v>
      </c>
      <c r="J500" s="53">
        <v>564.12350000000004</v>
      </c>
      <c r="K500" s="53">
        <v>1692.3705</v>
      </c>
      <c r="L500" s="53">
        <v>564.12350000000004</v>
      </c>
      <c r="M500" s="53">
        <v>564.12350000000004</v>
      </c>
      <c r="N500" s="3" t="s">
        <v>69</v>
      </c>
    </row>
    <row r="501" spans="1:14" x14ac:dyDescent="0.25">
      <c r="A501" s="51">
        <v>1.29</v>
      </c>
      <c r="B501" s="53">
        <v>11278.8624</v>
      </c>
      <c r="C501" s="53">
        <v>986.76520000000005</v>
      </c>
      <c r="D501" s="53">
        <v>493.38260000000002</v>
      </c>
      <c r="E501" s="53">
        <v>493.38260000000002</v>
      </c>
      <c r="F501" s="53">
        <v>1973.5304000000001</v>
      </c>
      <c r="G501" s="53">
        <v>986.76520000000005</v>
      </c>
      <c r="H501" s="53">
        <v>986.76520000000005</v>
      </c>
      <c r="I501" s="53">
        <v>1973.5304000000001</v>
      </c>
      <c r="J501" s="53">
        <v>564.12350000000004</v>
      </c>
      <c r="K501" s="53">
        <v>1692.3705</v>
      </c>
      <c r="L501" s="53">
        <v>564.12350000000004</v>
      </c>
      <c r="M501" s="53">
        <v>564.12350000000004</v>
      </c>
      <c r="N501" s="3" t="s">
        <v>69</v>
      </c>
    </row>
    <row r="502" spans="1:14" x14ac:dyDescent="0.25">
      <c r="A502" s="51">
        <v>1.2909999999999999</v>
      </c>
      <c r="B502" s="53">
        <v>11284.981900000001</v>
      </c>
      <c r="C502" s="53">
        <v>987.53009999999995</v>
      </c>
      <c r="D502" s="53">
        <v>493.76510000000002</v>
      </c>
      <c r="E502" s="53">
        <v>493.76510000000002</v>
      </c>
      <c r="F502" s="53">
        <v>1975.0601999999999</v>
      </c>
      <c r="G502" s="53">
        <v>987.53009999999995</v>
      </c>
      <c r="H502" s="53">
        <v>987.53009999999995</v>
      </c>
      <c r="I502" s="53">
        <v>1975.0601999999999</v>
      </c>
      <c r="J502" s="53">
        <v>564.12350000000004</v>
      </c>
      <c r="K502" s="53">
        <v>1692.3705</v>
      </c>
      <c r="L502" s="53">
        <v>564.12350000000004</v>
      </c>
      <c r="M502" s="53">
        <v>564.12350000000004</v>
      </c>
      <c r="N502" s="3" t="s">
        <v>69</v>
      </c>
    </row>
    <row r="503" spans="1:14" x14ac:dyDescent="0.25">
      <c r="A503" s="51">
        <v>1.292</v>
      </c>
      <c r="B503" s="53">
        <v>11291.1014</v>
      </c>
      <c r="C503" s="53">
        <v>988.29499999999996</v>
      </c>
      <c r="D503" s="53">
        <v>494.14749999999998</v>
      </c>
      <c r="E503" s="53">
        <v>494.14749999999998</v>
      </c>
      <c r="F503" s="53">
        <v>1976.5900999999999</v>
      </c>
      <c r="G503" s="53">
        <v>988.29499999999996</v>
      </c>
      <c r="H503" s="53">
        <v>988.29499999999996</v>
      </c>
      <c r="I503" s="53">
        <v>1976.5900999999999</v>
      </c>
      <c r="J503" s="53">
        <v>564.12350000000004</v>
      </c>
      <c r="K503" s="53">
        <v>1692.3705</v>
      </c>
      <c r="L503" s="53">
        <v>564.12350000000004</v>
      </c>
      <c r="M503" s="53">
        <v>564.12350000000004</v>
      </c>
      <c r="N503" s="3" t="s">
        <v>69</v>
      </c>
    </row>
    <row r="504" spans="1:14" x14ac:dyDescent="0.25">
      <c r="A504" s="51">
        <v>1.2929999999999999</v>
      </c>
      <c r="B504" s="53">
        <v>11297.220799999999</v>
      </c>
      <c r="C504" s="53">
        <v>989.06</v>
      </c>
      <c r="D504" s="53">
        <v>494.53</v>
      </c>
      <c r="E504" s="53">
        <v>494.53</v>
      </c>
      <c r="F504" s="53">
        <v>1978.12</v>
      </c>
      <c r="G504" s="53">
        <v>989.06</v>
      </c>
      <c r="H504" s="53">
        <v>989.06</v>
      </c>
      <c r="I504" s="53">
        <v>1978.12</v>
      </c>
      <c r="J504" s="53">
        <v>564.12350000000004</v>
      </c>
      <c r="K504" s="53">
        <v>1692.3705</v>
      </c>
      <c r="L504" s="53">
        <v>564.12350000000004</v>
      </c>
      <c r="M504" s="53">
        <v>564.12350000000004</v>
      </c>
      <c r="N504" s="3" t="s">
        <v>69</v>
      </c>
    </row>
    <row r="505" spans="1:14" x14ac:dyDescent="0.25">
      <c r="A505" s="51">
        <v>1.294</v>
      </c>
      <c r="B505" s="53">
        <v>11303.3403</v>
      </c>
      <c r="C505" s="53">
        <v>989.82489999999996</v>
      </c>
      <c r="D505" s="53">
        <v>494.91250000000002</v>
      </c>
      <c r="E505" s="53">
        <v>494.91250000000002</v>
      </c>
      <c r="F505" s="53">
        <v>1979.6497999999999</v>
      </c>
      <c r="G505" s="53">
        <v>989.82489999999996</v>
      </c>
      <c r="H505" s="53">
        <v>989.82489999999996</v>
      </c>
      <c r="I505" s="53">
        <v>1979.6497999999999</v>
      </c>
      <c r="J505" s="53">
        <v>564.12350000000004</v>
      </c>
      <c r="K505" s="53">
        <v>1692.3705</v>
      </c>
      <c r="L505" s="53">
        <v>564.12350000000004</v>
      </c>
      <c r="M505" s="53">
        <v>564.12350000000004</v>
      </c>
      <c r="N505" s="3" t="s">
        <v>69</v>
      </c>
    </row>
    <row r="506" spans="1:14" x14ac:dyDescent="0.25">
      <c r="A506" s="51">
        <v>1.2949999999999999</v>
      </c>
      <c r="B506" s="53">
        <v>11309.459800000001</v>
      </c>
      <c r="C506" s="53">
        <v>990.58979999999997</v>
      </c>
      <c r="D506" s="53">
        <v>495.29489999999998</v>
      </c>
      <c r="E506" s="53">
        <v>495.29489999999998</v>
      </c>
      <c r="F506" s="53">
        <v>1981.1796999999999</v>
      </c>
      <c r="G506" s="53">
        <v>990.58979999999997</v>
      </c>
      <c r="H506" s="53">
        <v>990.58979999999997</v>
      </c>
      <c r="I506" s="53">
        <v>1981.1796999999999</v>
      </c>
      <c r="J506" s="53">
        <v>564.12350000000004</v>
      </c>
      <c r="K506" s="53">
        <v>1692.3705</v>
      </c>
      <c r="L506" s="53">
        <v>564.12350000000004</v>
      </c>
      <c r="M506" s="53">
        <v>564.12350000000004</v>
      </c>
      <c r="N506" s="3" t="s">
        <v>69</v>
      </c>
    </row>
    <row r="507" spans="1:14" x14ac:dyDescent="0.25">
      <c r="A507" s="51">
        <v>1.296</v>
      </c>
      <c r="B507" s="53">
        <v>11315.579299999999</v>
      </c>
      <c r="C507" s="53">
        <v>991.35479999999995</v>
      </c>
      <c r="D507" s="53">
        <v>495.67739999999998</v>
      </c>
      <c r="E507" s="53">
        <v>495.67739999999998</v>
      </c>
      <c r="F507" s="53">
        <v>1982.7095999999999</v>
      </c>
      <c r="G507" s="53">
        <v>991.35479999999995</v>
      </c>
      <c r="H507" s="53">
        <v>991.35479999999995</v>
      </c>
      <c r="I507" s="53">
        <v>1982.7095999999999</v>
      </c>
      <c r="J507" s="53">
        <v>564.12350000000004</v>
      </c>
      <c r="K507" s="53">
        <v>1692.3705</v>
      </c>
      <c r="L507" s="53">
        <v>564.12350000000004</v>
      </c>
      <c r="M507" s="53">
        <v>564.12350000000004</v>
      </c>
      <c r="N507" s="3" t="s">
        <v>69</v>
      </c>
    </row>
    <row r="508" spans="1:14" x14ac:dyDescent="0.25">
      <c r="A508" s="51">
        <v>1.2969999999999999</v>
      </c>
      <c r="B508" s="53">
        <v>11321.698700000001</v>
      </c>
      <c r="C508" s="53">
        <v>992.11969999999997</v>
      </c>
      <c r="D508" s="53">
        <v>496.05990000000003</v>
      </c>
      <c r="E508" s="53">
        <v>496.05990000000003</v>
      </c>
      <c r="F508" s="53">
        <v>1984.2393999999999</v>
      </c>
      <c r="G508" s="53">
        <v>992.11969999999997</v>
      </c>
      <c r="H508" s="53">
        <v>992.11969999999997</v>
      </c>
      <c r="I508" s="53">
        <v>1984.2393999999999</v>
      </c>
      <c r="J508" s="53">
        <v>564.12350000000004</v>
      </c>
      <c r="K508" s="53">
        <v>1692.3705</v>
      </c>
      <c r="L508" s="53">
        <v>564.12350000000004</v>
      </c>
      <c r="M508" s="53">
        <v>564.12350000000004</v>
      </c>
      <c r="N508" s="3" t="s">
        <v>69</v>
      </c>
    </row>
    <row r="509" spans="1:14" x14ac:dyDescent="0.25">
      <c r="A509" s="51">
        <v>1.298</v>
      </c>
      <c r="B509" s="53">
        <v>11327.8182</v>
      </c>
      <c r="C509" s="53">
        <v>992.88469999999995</v>
      </c>
      <c r="D509" s="53">
        <v>496.44229999999999</v>
      </c>
      <c r="E509" s="53">
        <v>496.44229999999999</v>
      </c>
      <c r="F509" s="53">
        <v>1985.7692999999999</v>
      </c>
      <c r="G509" s="53">
        <v>992.88469999999995</v>
      </c>
      <c r="H509" s="53">
        <v>992.88469999999995</v>
      </c>
      <c r="I509" s="53">
        <v>1985.7692999999999</v>
      </c>
      <c r="J509" s="53">
        <v>564.12350000000004</v>
      </c>
      <c r="K509" s="53">
        <v>1692.3705</v>
      </c>
      <c r="L509" s="53">
        <v>564.12350000000004</v>
      </c>
      <c r="M509" s="53">
        <v>564.12350000000004</v>
      </c>
      <c r="N509" s="3" t="s">
        <v>69</v>
      </c>
    </row>
    <row r="510" spans="1:14" x14ac:dyDescent="0.25">
      <c r="A510" s="51">
        <v>1.2989999999999999</v>
      </c>
      <c r="B510" s="53">
        <v>11333.9377</v>
      </c>
      <c r="C510" s="53">
        <v>993.64959999999996</v>
      </c>
      <c r="D510" s="53">
        <v>496.82479999999998</v>
      </c>
      <c r="E510" s="53">
        <v>496.82479999999998</v>
      </c>
      <c r="F510" s="53">
        <v>1987.2991999999999</v>
      </c>
      <c r="G510" s="53">
        <v>993.64959999999996</v>
      </c>
      <c r="H510" s="53">
        <v>993.64959999999996</v>
      </c>
      <c r="I510" s="53">
        <v>1987.2991999999999</v>
      </c>
      <c r="J510" s="53">
        <v>564.12350000000004</v>
      </c>
      <c r="K510" s="53">
        <v>1692.3705</v>
      </c>
      <c r="L510" s="53">
        <v>564.12350000000004</v>
      </c>
      <c r="M510" s="53">
        <v>564.12350000000004</v>
      </c>
      <c r="N510" s="3" t="s">
        <v>69</v>
      </c>
    </row>
    <row r="511" spans="1:14" x14ac:dyDescent="0.25">
      <c r="A511" s="51">
        <v>1.3</v>
      </c>
      <c r="B511" s="53">
        <v>11390.727999999999</v>
      </c>
      <c r="C511" s="53">
        <v>1000.7483999999999</v>
      </c>
      <c r="D511" s="53">
        <v>500.37419999999997</v>
      </c>
      <c r="E511" s="53">
        <v>500.37419999999997</v>
      </c>
      <c r="F511" s="53">
        <v>2001.4966999999999</v>
      </c>
      <c r="G511" s="53">
        <v>1000.7483999999999</v>
      </c>
      <c r="H511" s="53">
        <v>1000.7483999999999</v>
      </c>
      <c r="I511" s="53">
        <v>2001.4966999999999</v>
      </c>
      <c r="J511" s="53">
        <v>564.12350000000004</v>
      </c>
      <c r="K511" s="53">
        <v>1692.3705</v>
      </c>
      <c r="L511" s="53">
        <v>564.12350000000004</v>
      </c>
      <c r="M511" s="53">
        <v>564.12350000000004</v>
      </c>
      <c r="N511" s="3" t="s">
        <v>69</v>
      </c>
    </row>
    <row r="512" spans="1:14" x14ac:dyDescent="0.25">
      <c r="A512" s="51">
        <v>1.3009999999999999</v>
      </c>
      <c r="B512" s="53">
        <v>11396.886399999999</v>
      </c>
      <c r="C512" s="53">
        <v>1001.5182</v>
      </c>
      <c r="D512" s="53">
        <v>500.75909999999999</v>
      </c>
      <c r="E512" s="53">
        <v>500.75909999999999</v>
      </c>
      <c r="F512" s="53">
        <v>2003.0364</v>
      </c>
      <c r="G512" s="53">
        <v>1001.5182</v>
      </c>
      <c r="H512" s="53">
        <v>1001.5182</v>
      </c>
      <c r="I512" s="53">
        <v>2003.0364</v>
      </c>
      <c r="J512" s="53">
        <v>564.12350000000004</v>
      </c>
      <c r="K512" s="53">
        <v>1692.3705</v>
      </c>
      <c r="L512" s="53">
        <v>564.12350000000004</v>
      </c>
      <c r="M512" s="53">
        <v>564.12350000000004</v>
      </c>
      <c r="N512" s="3" t="s">
        <v>69</v>
      </c>
    </row>
    <row r="513" spans="1:14" x14ac:dyDescent="0.25">
      <c r="A513" s="51">
        <v>1.302</v>
      </c>
      <c r="B513" s="53">
        <v>11403.044900000001</v>
      </c>
      <c r="C513" s="53">
        <v>1002.288</v>
      </c>
      <c r="D513" s="53">
        <v>501.14400000000001</v>
      </c>
      <c r="E513" s="53">
        <v>501.14400000000001</v>
      </c>
      <c r="F513" s="53">
        <v>2004.576</v>
      </c>
      <c r="G513" s="53">
        <v>1002.288</v>
      </c>
      <c r="H513" s="53">
        <v>1002.288</v>
      </c>
      <c r="I513" s="53">
        <v>2004.576</v>
      </c>
      <c r="J513" s="53">
        <v>564.12350000000004</v>
      </c>
      <c r="K513" s="53">
        <v>1692.3705</v>
      </c>
      <c r="L513" s="53">
        <v>564.12350000000004</v>
      </c>
      <c r="M513" s="53">
        <v>564.12350000000004</v>
      </c>
      <c r="N513" s="3" t="s">
        <v>69</v>
      </c>
    </row>
    <row r="514" spans="1:14" x14ac:dyDescent="0.25">
      <c r="A514" s="51">
        <v>1.3029999999999999</v>
      </c>
      <c r="B514" s="53">
        <v>11409.203299999999</v>
      </c>
      <c r="C514" s="53">
        <v>1003.0578</v>
      </c>
      <c r="D514" s="53">
        <v>501.52890000000002</v>
      </c>
      <c r="E514" s="53">
        <v>501.52890000000002</v>
      </c>
      <c r="F514" s="53">
        <v>2006.1156000000001</v>
      </c>
      <c r="G514" s="53">
        <v>1003.0578</v>
      </c>
      <c r="H514" s="53">
        <v>1003.0578</v>
      </c>
      <c r="I514" s="53">
        <v>2006.1156000000001</v>
      </c>
      <c r="J514" s="53">
        <v>564.12350000000004</v>
      </c>
      <c r="K514" s="53">
        <v>1692.3705</v>
      </c>
      <c r="L514" s="53">
        <v>564.12350000000004</v>
      </c>
      <c r="M514" s="53">
        <v>564.12350000000004</v>
      </c>
      <c r="N514" s="3" t="s">
        <v>69</v>
      </c>
    </row>
    <row r="515" spans="1:14" x14ac:dyDescent="0.25">
      <c r="A515" s="51">
        <v>1.304</v>
      </c>
      <c r="B515" s="53">
        <v>11415.361800000001</v>
      </c>
      <c r="C515" s="53">
        <v>1003.8276</v>
      </c>
      <c r="D515" s="53">
        <v>501.91379999999998</v>
      </c>
      <c r="E515" s="53">
        <v>501.91379999999998</v>
      </c>
      <c r="F515" s="53">
        <v>2007.6551999999999</v>
      </c>
      <c r="G515" s="53">
        <v>1003.8276</v>
      </c>
      <c r="H515" s="53">
        <v>1003.8276</v>
      </c>
      <c r="I515" s="53">
        <v>2007.6551999999999</v>
      </c>
      <c r="J515" s="53">
        <v>564.12350000000004</v>
      </c>
      <c r="K515" s="53">
        <v>1692.3705</v>
      </c>
      <c r="L515" s="53">
        <v>564.12350000000004</v>
      </c>
      <c r="M515" s="53">
        <v>564.12350000000004</v>
      </c>
      <c r="N515" s="3" t="s">
        <v>69</v>
      </c>
    </row>
    <row r="516" spans="1:14" x14ac:dyDescent="0.25">
      <c r="A516" s="51">
        <v>1.3049999999999999</v>
      </c>
      <c r="B516" s="53">
        <v>11421.520200000001</v>
      </c>
      <c r="C516" s="53">
        <v>1004.5974</v>
      </c>
      <c r="D516" s="53">
        <v>502.2987</v>
      </c>
      <c r="E516" s="53">
        <v>502.2987</v>
      </c>
      <c r="F516" s="53">
        <v>2009.1948</v>
      </c>
      <c r="G516" s="53">
        <v>1004.5974</v>
      </c>
      <c r="H516" s="53">
        <v>1004.5974</v>
      </c>
      <c r="I516" s="53">
        <v>2009.1948</v>
      </c>
      <c r="J516" s="53">
        <v>564.12350000000004</v>
      </c>
      <c r="K516" s="53">
        <v>1692.3705</v>
      </c>
      <c r="L516" s="53">
        <v>564.12350000000004</v>
      </c>
      <c r="M516" s="53">
        <v>564.12350000000004</v>
      </c>
      <c r="N516" s="3" t="s">
        <v>69</v>
      </c>
    </row>
    <row r="517" spans="1:14" x14ac:dyDescent="0.25">
      <c r="A517" s="51">
        <v>1.306</v>
      </c>
      <c r="B517" s="53">
        <v>11427.6787</v>
      </c>
      <c r="C517" s="53">
        <v>1005.3672</v>
      </c>
      <c r="D517" s="53">
        <v>502.68360000000001</v>
      </c>
      <c r="E517" s="53">
        <v>502.68360000000001</v>
      </c>
      <c r="F517" s="53">
        <v>2010.7344000000001</v>
      </c>
      <c r="G517" s="53">
        <v>1005.3672</v>
      </c>
      <c r="H517" s="53">
        <v>1005.3672</v>
      </c>
      <c r="I517" s="53">
        <v>2010.7344000000001</v>
      </c>
      <c r="J517" s="53">
        <v>564.12350000000004</v>
      </c>
      <c r="K517" s="53">
        <v>1692.3705</v>
      </c>
      <c r="L517" s="53">
        <v>564.12350000000004</v>
      </c>
      <c r="M517" s="53">
        <v>564.12350000000004</v>
      </c>
      <c r="N517" s="3" t="s">
        <v>69</v>
      </c>
    </row>
    <row r="518" spans="1:14" x14ac:dyDescent="0.25">
      <c r="A518" s="51">
        <v>1.3069999999999999</v>
      </c>
      <c r="B518" s="53">
        <v>11433.837100000001</v>
      </c>
      <c r="C518" s="53">
        <v>1006.1369999999999</v>
      </c>
      <c r="D518" s="53">
        <v>503.06849999999997</v>
      </c>
      <c r="E518" s="53">
        <v>503.06849999999997</v>
      </c>
      <c r="F518" s="53">
        <v>2012.2739999999999</v>
      </c>
      <c r="G518" s="53">
        <v>1006.1369999999999</v>
      </c>
      <c r="H518" s="53">
        <v>1006.1369999999999</v>
      </c>
      <c r="I518" s="53">
        <v>2012.2739999999999</v>
      </c>
      <c r="J518" s="53">
        <v>564.12350000000004</v>
      </c>
      <c r="K518" s="53">
        <v>1692.3705</v>
      </c>
      <c r="L518" s="53">
        <v>564.12350000000004</v>
      </c>
      <c r="M518" s="53">
        <v>564.12350000000004</v>
      </c>
      <c r="N518" s="3" t="s">
        <v>69</v>
      </c>
    </row>
    <row r="519" spans="1:14" x14ac:dyDescent="0.25">
      <c r="A519" s="51">
        <v>1.3080000000000001</v>
      </c>
      <c r="B519" s="53">
        <v>11439.9956</v>
      </c>
      <c r="C519" s="53">
        <v>1006.9068</v>
      </c>
      <c r="D519" s="53">
        <v>503.45339999999999</v>
      </c>
      <c r="E519" s="53">
        <v>503.45339999999999</v>
      </c>
      <c r="F519" s="53">
        <v>2013.8136</v>
      </c>
      <c r="G519" s="53">
        <v>1006.9068</v>
      </c>
      <c r="H519" s="53">
        <v>1006.9068</v>
      </c>
      <c r="I519" s="53">
        <v>2013.8136</v>
      </c>
      <c r="J519" s="53">
        <v>564.12350000000004</v>
      </c>
      <c r="K519" s="53">
        <v>1692.3705</v>
      </c>
      <c r="L519" s="53">
        <v>564.12350000000004</v>
      </c>
      <c r="M519" s="53">
        <v>564.12350000000004</v>
      </c>
      <c r="N519" s="3" t="s">
        <v>69</v>
      </c>
    </row>
    <row r="520" spans="1:14" x14ac:dyDescent="0.25">
      <c r="A520" s="51">
        <v>1.3089999999999999</v>
      </c>
      <c r="B520" s="53">
        <v>11446.154</v>
      </c>
      <c r="C520" s="53">
        <v>1007.6766</v>
      </c>
      <c r="D520" s="53">
        <v>503.8383</v>
      </c>
      <c r="E520" s="53">
        <v>503.8383</v>
      </c>
      <c r="F520" s="53">
        <v>2015.3533</v>
      </c>
      <c r="G520" s="53">
        <v>1007.6766</v>
      </c>
      <c r="H520" s="53">
        <v>1007.6766</v>
      </c>
      <c r="I520" s="53">
        <v>2015.3533</v>
      </c>
      <c r="J520" s="53">
        <v>564.12350000000004</v>
      </c>
      <c r="K520" s="53">
        <v>1692.3705</v>
      </c>
      <c r="L520" s="53">
        <v>564.12350000000004</v>
      </c>
      <c r="M520" s="53">
        <v>564.12350000000004</v>
      </c>
      <c r="N520" s="3" t="s">
        <v>69</v>
      </c>
    </row>
    <row r="521" spans="1:14" x14ac:dyDescent="0.25">
      <c r="A521" s="51">
        <v>1.31</v>
      </c>
      <c r="B521" s="53">
        <v>11452.3125</v>
      </c>
      <c r="C521" s="53">
        <v>1008.4464</v>
      </c>
      <c r="D521" s="53">
        <v>504.22320000000002</v>
      </c>
      <c r="E521" s="53">
        <v>504.22320000000002</v>
      </c>
      <c r="F521" s="53">
        <v>2016.8929000000001</v>
      </c>
      <c r="G521" s="53">
        <v>1008.4464</v>
      </c>
      <c r="H521" s="53">
        <v>1008.4464</v>
      </c>
      <c r="I521" s="53">
        <v>2016.8929000000001</v>
      </c>
      <c r="J521" s="53">
        <v>564.12350000000004</v>
      </c>
      <c r="K521" s="53">
        <v>1692.3705</v>
      </c>
      <c r="L521" s="53">
        <v>564.12350000000004</v>
      </c>
      <c r="M521" s="53">
        <v>564.12350000000004</v>
      </c>
      <c r="N521" s="3" t="s">
        <v>69</v>
      </c>
    </row>
    <row r="522" spans="1:14" x14ac:dyDescent="0.25">
      <c r="A522" s="51">
        <v>1.3109999999999999</v>
      </c>
      <c r="B522" s="53">
        <v>11458.4709</v>
      </c>
      <c r="C522" s="53">
        <v>1009.2162</v>
      </c>
      <c r="D522" s="53">
        <v>504.60809999999998</v>
      </c>
      <c r="E522" s="53">
        <v>504.60809999999998</v>
      </c>
      <c r="F522" s="53">
        <v>2018.4324999999999</v>
      </c>
      <c r="G522" s="53">
        <v>1009.2162</v>
      </c>
      <c r="H522" s="53">
        <v>1009.2162</v>
      </c>
      <c r="I522" s="53">
        <v>2018.4324999999999</v>
      </c>
      <c r="J522" s="53">
        <v>564.12350000000004</v>
      </c>
      <c r="K522" s="53">
        <v>1692.3705</v>
      </c>
      <c r="L522" s="53">
        <v>564.12350000000004</v>
      </c>
      <c r="M522" s="53">
        <v>564.12350000000004</v>
      </c>
      <c r="N522" s="3" t="s">
        <v>69</v>
      </c>
    </row>
    <row r="523" spans="1:14" x14ac:dyDescent="0.25">
      <c r="A523" s="51">
        <v>1.3120000000000001</v>
      </c>
      <c r="B523" s="53">
        <v>11464.6294</v>
      </c>
      <c r="C523" s="53">
        <v>1009.986</v>
      </c>
      <c r="D523" s="53">
        <v>504.99299999999999</v>
      </c>
      <c r="E523" s="53">
        <v>504.99299999999999</v>
      </c>
      <c r="F523" s="53">
        <v>2019.9721</v>
      </c>
      <c r="G523" s="53">
        <v>1009.986</v>
      </c>
      <c r="H523" s="53">
        <v>1009.986</v>
      </c>
      <c r="I523" s="53">
        <v>2019.9721</v>
      </c>
      <c r="J523" s="53">
        <v>564.12350000000004</v>
      </c>
      <c r="K523" s="53">
        <v>1692.3705</v>
      </c>
      <c r="L523" s="53">
        <v>564.12350000000004</v>
      </c>
      <c r="M523" s="53">
        <v>564.12350000000004</v>
      </c>
      <c r="N523" s="3" t="s">
        <v>69</v>
      </c>
    </row>
    <row r="524" spans="1:14" x14ac:dyDescent="0.25">
      <c r="A524" s="51">
        <v>1.3129999999999999</v>
      </c>
      <c r="B524" s="53">
        <v>11470.7878</v>
      </c>
      <c r="C524" s="53">
        <v>1010.7559</v>
      </c>
      <c r="D524" s="53">
        <v>505.37790000000001</v>
      </c>
      <c r="E524" s="53">
        <v>505.37790000000001</v>
      </c>
      <c r="F524" s="53">
        <v>2021.5117</v>
      </c>
      <c r="G524" s="53">
        <v>1010.7559</v>
      </c>
      <c r="H524" s="53">
        <v>1010.7559</v>
      </c>
      <c r="I524" s="53">
        <v>2021.5117</v>
      </c>
      <c r="J524" s="53">
        <v>564.12350000000004</v>
      </c>
      <c r="K524" s="53">
        <v>1692.3705</v>
      </c>
      <c r="L524" s="53">
        <v>564.12350000000004</v>
      </c>
      <c r="M524" s="53">
        <v>564.12350000000004</v>
      </c>
      <c r="N524" s="3" t="s">
        <v>69</v>
      </c>
    </row>
    <row r="525" spans="1:14" x14ac:dyDescent="0.25">
      <c r="A525" s="51">
        <v>1.3140000000000001</v>
      </c>
      <c r="B525" s="53">
        <v>11476.9463</v>
      </c>
      <c r="C525" s="53">
        <v>1011.5257</v>
      </c>
      <c r="D525" s="53">
        <v>505.76280000000003</v>
      </c>
      <c r="E525" s="53">
        <v>505.76280000000003</v>
      </c>
      <c r="F525" s="53">
        <v>2023.0513000000001</v>
      </c>
      <c r="G525" s="53">
        <v>1011.5257</v>
      </c>
      <c r="H525" s="53">
        <v>1011.5257</v>
      </c>
      <c r="I525" s="53">
        <v>2023.0513000000001</v>
      </c>
      <c r="J525" s="53">
        <v>564.12350000000004</v>
      </c>
      <c r="K525" s="53">
        <v>1692.3705</v>
      </c>
      <c r="L525" s="53">
        <v>564.12350000000004</v>
      </c>
      <c r="M525" s="53">
        <v>564.12350000000004</v>
      </c>
      <c r="N525" s="3" t="s">
        <v>69</v>
      </c>
    </row>
    <row r="526" spans="1:14" x14ac:dyDescent="0.25">
      <c r="A526" s="51">
        <v>1.3149999999999999</v>
      </c>
      <c r="B526" s="53">
        <v>11483.1047</v>
      </c>
      <c r="C526" s="53">
        <v>1012.2954999999999</v>
      </c>
      <c r="D526" s="53">
        <v>506.14769999999999</v>
      </c>
      <c r="E526" s="53">
        <v>506.14769999999999</v>
      </c>
      <c r="F526" s="53">
        <v>2024.5908999999999</v>
      </c>
      <c r="G526" s="53">
        <v>1012.2954999999999</v>
      </c>
      <c r="H526" s="53">
        <v>1012.2954999999999</v>
      </c>
      <c r="I526" s="53">
        <v>2024.5908999999999</v>
      </c>
      <c r="J526" s="53">
        <v>564.12350000000004</v>
      </c>
      <c r="K526" s="53">
        <v>1692.3705</v>
      </c>
      <c r="L526" s="53">
        <v>564.12350000000004</v>
      </c>
      <c r="M526" s="53">
        <v>564.12350000000004</v>
      </c>
      <c r="N526" s="3" t="s">
        <v>69</v>
      </c>
    </row>
    <row r="527" spans="1:14" x14ac:dyDescent="0.25">
      <c r="A527" s="51">
        <v>1.3160000000000001</v>
      </c>
      <c r="B527" s="53">
        <v>11489.263199999999</v>
      </c>
      <c r="C527" s="53">
        <v>1013.0653</v>
      </c>
      <c r="D527" s="53">
        <v>506.5326</v>
      </c>
      <c r="E527" s="53">
        <v>506.5326</v>
      </c>
      <c r="F527" s="53">
        <v>2026.1305</v>
      </c>
      <c r="G527" s="53">
        <v>1013.0653</v>
      </c>
      <c r="H527" s="53">
        <v>1013.0653</v>
      </c>
      <c r="I527" s="53">
        <v>2026.1305</v>
      </c>
      <c r="J527" s="53">
        <v>564.12350000000004</v>
      </c>
      <c r="K527" s="53">
        <v>1692.3705</v>
      </c>
      <c r="L527" s="53">
        <v>564.12350000000004</v>
      </c>
      <c r="M527" s="53">
        <v>564.12350000000004</v>
      </c>
      <c r="N527" s="3" t="s">
        <v>69</v>
      </c>
    </row>
    <row r="528" spans="1:14" x14ac:dyDescent="0.25">
      <c r="A528" s="51">
        <v>1.3169999999999999</v>
      </c>
      <c r="B528" s="53">
        <v>11495.4216</v>
      </c>
      <c r="C528" s="53">
        <v>1013.8351</v>
      </c>
      <c r="D528" s="53">
        <v>506.91750000000002</v>
      </c>
      <c r="E528" s="53">
        <v>506.91750000000002</v>
      </c>
      <c r="F528" s="53">
        <v>2027.6702</v>
      </c>
      <c r="G528" s="53">
        <v>1013.8351</v>
      </c>
      <c r="H528" s="53">
        <v>1013.8351</v>
      </c>
      <c r="I528" s="53">
        <v>2027.6702</v>
      </c>
      <c r="J528" s="53">
        <v>564.12350000000004</v>
      </c>
      <c r="K528" s="53">
        <v>1692.3705</v>
      </c>
      <c r="L528" s="53">
        <v>564.12350000000004</v>
      </c>
      <c r="M528" s="53">
        <v>564.12350000000004</v>
      </c>
      <c r="N528" s="3" t="s">
        <v>69</v>
      </c>
    </row>
    <row r="529" spans="1:14" x14ac:dyDescent="0.25">
      <c r="A529" s="51">
        <v>1.3180000000000001</v>
      </c>
      <c r="B529" s="53">
        <v>11501.580099999999</v>
      </c>
      <c r="C529" s="53">
        <v>1014.6049</v>
      </c>
      <c r="D529" s="53">
        <v>507.30239999999998</v>
      </c>
      <c r="E529" s="53">
        <v>507.30239999999998</v>
      </c>
      <c r="F529" s="53">
        <v>2029.2098000000001</v>
      </c>
      <c r="G529" s="53">
        <v>1014.6049</v>
      </c>
      <c r="H529" s="53">
        <v>1014.6049</v>
      </c>
      <c r="I529" s="53">
        <v>2029.2098000000001</v>
      </c>
      <c r="J529" s="53">
        <v>564.12350000000004</v>
      </c>
      <c r="K529" s="53">
        <v>1692.3705</v>
      </c>
      <c r="L529" s="53">
        <v>564.12350000000004</v>
      </c>
      <c r="M529" s="53">
        <v>564.12350000000004</v>
      </c>
      <c r="N529" s="3" t="s">
        <v>69</v>
      </c>
    </row>
    <row r="530" spans="1:14" x14ac:dyDescent="0.25">
      <c r="A530" s="51">
        <v>1.319</v>
      </c>
      <c r="B530" s="53">
        <v>11507.738499999999</v>
      </c>
      <c r="C530" s="53">
        <v>1015.3747</v>
      </c>
      <c r="D530" s="53">
        <v>507.68729999999999</v>
      </c>
      <c r="E530" s="53">
        <v>507.68729999999999</v>
      </c>
      <c r="F530" s="53">
        <v>2030.7493999999999</v>
      </c>
      <c r="G530" s="53">
        <v>1015.3747</v>
      </c>
      <c r="H530" s="53">
        <v>1015.3747</v>
      </c>
      <c r="I530" s="53">
        <v>2030.7493999999999</v>
      </c>
      <c r="J530" s="53">
        <v>564.12350000000004</v>
      </c>
      <c r="K530" s="53">
        <v>1692.3705</v>
      </c>
      <c r="L530" s="53">
        <v>564.12350000000004</v>
      </c>
      <c r="M530" s="53">
        <v>564.12350000000004</v>
      </c>
      <c r="N530" s="3" t="s">
        <v>69</v>
      </c>
    </row>
    <row r="531" spans="1:14" x14ac:dyDescent="0.25">
      <c r="A531" s="51">
        <v>1.32</v>
      </c>
      <c r="B531" s="53">
        <v>11513.897000000001</v>
      </c>
      <c r="C531" s="53">
        <v>1016.1445</v>
      </c>
      <c r="D531" s="53">
        <v>508.07220000000001</v>
      </c>
      <c r="E531" s="53">
        <v>508.07220000000001</v>
      </c>
      <c r="F531" s="53">
        <v>2032.289</v>
      </c>
      <c r="G531" s="53">
        <v>1016.1445</v>
      </c>
      <c r="H531" s="53">
        <v>1016.1445</v>
      </c>
      <c r="I531" s="53">
        <v>2032.289</v>
      </c>
      <c r="J531" s="53">
        <v>564.12350000000004</v>
      </c>
      <c r="K531" s="53">
        <v>1692.3705</v>
      </c>
      <c r="L531" s="53">
        <v>564.12350000000004</v>
      </c>
      <c r="M531" s="53">
        <v>564.12350000000004</v>
      </c>
      <c r="N531" s="3" t="s">
        <v>69</v>
      </c>
    </row>
    <row r="532" spans="1:14" x14ac:dyDescent="0.25">
      <c r="A532" s="51">
        <v>1.321</v>
      </c>
      <c r="B532" s="53">
        <v>11520.055399999999</v>
      </c>
      <c r="C532" s="53">
        <v>1016.9143</v>
      </c>
      <c r="D532" s="53">
        <v>508.4572</v>
      </c>
      <c r="E532" s="53">
        <v>508.4572</v>
      </c>
      <c r="F532" s="53">
        <v>2033.8286000000001</v>
      </c>
      <c r="G532" s="53">
        <v>1016.9143</v>
      </c>
      <c r="H532" s="53">
        <v>1016.9143</v>
      </c>
      <c r="I532" s="53">
        <v>2033.8286000000001</v>
      </c>
      <c r="J532" s="53">
        <v>564.12350000000004</v>
      </c>
      <c r="K532" s="53">
        <v>1692.3705</v>
      </c>
      <c r="L532" s="53">
        <v>564.12350000000004</v>
      </c>
      <c r="M532" s="53">
        <v>564.12350000000004</v>
      </c>
      <c r="N532" s="3" t="s">
        <v>69</v>
      </c>
    </row>
    <row r="533" spans="1:14" x14ac:dyDescent="0.25">
      <c r="A533" s="51">
        <v>1.3220000000000001</v>
      </c>
      <c r="B533" s="53">
        <v>11526.213900000001</v>
      </c>
      <c r="C533" s="53">
        <v>1017.6840999999999</v>
      </c>
      <c r="D533" s="53">
        <v>508.84210000000002</v>
      </c>
      <c r="E533" s="53">
        <v>508.84210000000002</v>
      </c>
      <c r="F533" s="53">
        <v>2035.3681999999999</v>
      </c>
      <c r="G533" s="53">
        <v>1017.6840999999999</v>
      </c>
      <c r="H533" s="53">
        <v>1017.6840999999999</v>
      </c>
      <c r="I533" s="53">
        <v>2035.3681999999999</v>
      </c>
      <c r="J533" s="53">
        <v>564.12350000000004</v>
      </c>
      <c r="K533" s="53">
        <v>1692.3705</v>
      </c>
      <c r="L533" s="53">
        <v>564.12350000000004</v>
      </c>
      <c r="M533" s="53">
        <v>564.12350000000004</v>
      </c>
      <c r="N533" s="3" t="s">
        <v>69</v>
      </c>
    </row>
    <row r="534" spans="1:14" x14ac:dyDescent="0.25">
      <c r="A534" s="51">
        <v>1.323</v>
      </c>
      <c r="B534" s="53">
        <v>11532.372300000001</v>
      </c>
      <c r="C534" s="53">
        <v>1018.4539</v>
      </c>
      <c r="D534" s="53">
        <v>509.22699999999998</v>
      </c>
      <c r="E534" s="53">
        <v>509.22699999999998</v>
      </c>
      <c r="F534" s="53">
        <v>2036.9078</v>
      </c>
      <c r="G534" s="53">
        <v>1018.4539</v>
      </c>
      <c r="H534" s="53">
        <v>1018.4539</v>
      </c>
      <c r="I534" s="53">
        <v>2036.9078</v>
      </c>
      <c r="J534" s="53">
        <v>564.12350000000004</v>
      </c>
      <c r="K534" s="53">
        <v>1692.3705</v>
      </c>
      <c r="L534" s="53">
        <v>564.12350000000004</v>
      </c>
      <c r="M534" s="53">
        <v>564.12350000000004</v>
      </c>
      <c r="N534" s="3" t="s">
        <v>69</v>
      </c>
    </row>
    <row r="535" spans="1:14" x14ac:dyDescent="0.25">
      <c r="A535" s="51">
        <v>1.3240000000000001</v>
      </c>
      <c r="B535" s="53">
        <v>11538.5308</v>
      </c>
      <c r="C535" s="53">
        <v>1019.2237</v>
      </c>
      <c r="D535" s="53">
        <v>509.61189999999999</v>
      </c>
      <c r="E535" s="53">
        <v>509.61189999999999</v>
      </c>
      <c r="F535" s="53">
        <v>2038.4475</v>
      </c>
      <c r="G535" s="53">
        <v>1019.2237</v>
      </c>
      <c r="H535" s="53">
        <v>1019.2237</v>
      </c>
      <c r="I535" s="53">
        <v>2038.4475</v>
      </c>
      <c r="J535" s="53">
        <v>564.12350000000004</v>
      </c>
      <c r="K535" s="53">
        <v>1692.3705</v>
      </c>
      <c r="L535" s="53">
        <v>564.12350000000004</v>
      </c>
      <c r="M535" s="53">
        <v>564.12350000000004</v>
      </c>
      <c r="N535" s="3" t="s">
        <v>69</v>
      </c>
    </row>
    <row r="536" spans="1:14" x14ac:dyDescent="0.25">
      <c r="A536" s="51">
        <v>1.325</v>
      </c>
      <c r="B536" s="53">
        <v>11544.6893</v>
      </c>
      <c r="C536" s="53">
        <v>1019.9935</v>
      </c>
      <c r="D536" s="53">
        <v>509.99680000000001</v>
      </c>
      <c r="E536" s="53">
        <v>509.99680000000001</v>
      </c>
      <c r="F536" s="53">
        <v>2039.9871000000001</v>
      </c>
      <c r="G536" s="53">
        <v>1019.9935</v>
      </c>
      <c r="H536" s="53">
        <v>1019.9935</v>
      </c>
      <c r="I536" s="53">
        <v>2039.9871000000001</v>
      </c>
      <c r="J536" s="53">
        <v>564.12350000000004</v>
      </c>
      <c r="K536" s="53">
        <v>1692.3705</v>
      </c>
      <c r="L536" s="53">
        <v>564.12350000000004</v>
      </c>
      <c r="M536" s="53">
        <v>564.12350000000004</v>
      </c>
      <c r="N536" s="3" t="s">
        <v>69</v>
      </c>
    </row>
    <row r="537" spans="1:14" x14ac:dyDescent="0.25">
      <c r="A537" s="51">
        <v>1.3260000000000001</v>
      </c>
      <c r="B537" s="53">
        <v>11550.8477</v>
      </c>
      <c r="C537" s="53">
        <v>1020.7633</v>
      </c>
      <c r="D537" s="53">
        <v>510.38170000000002</v>
      </c>
      <c r="E537" s="53">
        <v>510.38170000000002</v>
      </c>
      <c r="F537" s="53">
        <v>2041.5266999999999</v>
      </c>
      <c r="G537" s="53">
        <v>1020.7633</v>
      </c>
      <c r="H537" s="53">
        <v>1020.7633</v>
      </c>
      <c r="I537" s="53">
        <v>2041.5266999999999</v>
      </c>
      <c r="J537" s="53">
        <v>564.12350000000004</v>
      </c>
      <c r="K537" s="53">
        <v>1692.3705</v>
      </c>
      <c r="L537" s="53">
        <v>564.12350000000004</v>
      </c>
      <c r="M537" s="53">
        <v>564.12350000000004</v>
      </c>
      <c r="N537" s="3" t="s">
        <v>69</v>
      </c>
    </row>
    <row r="538" spans="1:14" x14ac:dyDescent="0.25">
      <c r="A538" s="51">
        <v>1.327</v>
      </c>
      <c r="B538" s="53">
        <v>11557.0062</v>
      </c>
      <c r="C538" s="53">
        <v>1021.5331</v>
      </c>
      <c r="D538" s="53">
        <v>510.76659999999998</v>
      </c>
      <c r="E538" s="53">
        <v>510.76659999999998</v>
      </c>
      <c r="F538" s="53">
        <v>2043.0663</v>
      </c>
      <c r="G538" s="53">
        <v>1021.5331</v>
      </c>
      <c r="H538" s="53">
        <v>1021.5331</v>
      </c>
      <c r="I538" s="53">
        <v>2043.0663</v>
      </c>
      <c r="J538" s="53">
        <v>564.12350000000004</v>
      </c>
      <c r="K538" s="53">
        <v>1692.3705</v>
      </c>
      <c r="L538" s="53">
        <v>564.12350000000004</v>
      </c>
      <c r="M538" s="53">
        <v>564.12350000000004</v>
      </c>
      <c r="N538" s="3" t="s">
        <v>69</v>
      </c>
    </row>
    <row r="539" spans="1:14" x14ac:dyDescent="0.25">
      <c r="A539" s="51">
        <v>1.3280000000000001</v>
      </c>
      <c r="B539" s="53">
        <v>11563.1646</v>
      </c>
      <c r="C539" s="53">
        <v>1022.303</v>
      </c>
      <c r="D539" s="53">
        <v>511.1515</v>
      </c>
      <c r="E539" s="53">
        <v>511.1515</v>
      </c>
      <c r="F539" s="53">
        <v>2044.6059</v>
      </c>
      <c r="G539" s="53">
        <v>1022.303</v>
      </c>
      <c r="H539" s="53">
        <v>1022.303</v>
      </c>
      <c r="I539" s="53">
        <v>2044.6059</v>
      </c>
      <c r="J539" s="53">
        <v>564.12350000000004</v>
      </c>
      <c r="K539" s="53">
        <v>1692.3705</v>
      </c>
      <c r="L539" s="53">
        <v>564.12350000000004</v>
      </c>
      <c r="M539" s="53">
        <v>564.12350000000004</v>
      </c>
      <c r="N539" s="3" t="s">
        <v>69</v>
      </c>
    </row>
    <row r="540" spans="1:14" x14ac:dyDescent="0.25">
      <c r="A540" s="51">
        <v>1.329</v>
      </c>
      <c r="B540" s="53">
        <v>11569.3231</v>
      </c>
      <c r="C540" s="53">
        <v>1023.0728</v>
      </c>
      <c r="D540" s="53">
        <v>511.53640000000001</v>
      </c>
      <c r="E540" s="53">
        <v>511.53640000000001</v>
      </c>
      <c r="F540" s="53">
        <v>2046.1455000000001</v>
      </c>
      <c r="G540" s="53">
        <v>1023.0728</v>
      </c>
      <c r="H540" s="53">
        <v>1023.0728</v>
      </c>
      <c r="I540" s="53">
        <v>2046.1455000000001</v>
      </c>
      <c r="J540" s="53">
        <v>564.12350000000004</v>
      </c>
      <c r="K540" s="53">
        <v>1692.3705</v>
      </c>
      <c r="L540" s="53">
        <v>564.12350000000004</v>
      </c>
      <c r="M540" s="53">
        <v>564.12350000000004</v>
      </c>
      <c r="N540" s="3" t="s">
        <v>69</v>
      </c>
    </row>
    <row r="541" spans="1:14" x14ac:dyDescent="0.25">
      <c r="A541" s="51">
        <v>1.33</v>
      </c>
      <c r="B541" s="53">
        <v>11575.4815</v>
      </c>
      <c r="C541" s="53">
        <v>1023.8425999999999</v>
      </c>
      <c r="D541" s="53">
        <v>511.92129999999997</v>
      </c>
      <c r="E541" s="53">
        <v>511.92129999999997</v>
      </c>
      <c r="F541" s="53">
        <v>2047.6850999999999</v>
      </c>
      <c r="G541" s="53">
        <v>1023.8425999999999</v>
      </c>
      <c r="H541" s="53">
        <v>1023.8425999999999</v>
      </c>
      <c r="I541" s="53">
        <v>2047.6850999999999</v>
      </c>
      <c r="J541" s="53">
        <v>564.12350000000004</v>
      </c>
      <c r="K541" s="53">
        <v>1692.3705</v>
      </c>
      <c r="L541" s="53">
        <v>564.12350000000004</v>
      </c>
      <c r="M541" s="53">
        <v>564.12350000000004</v>
      </c>
      <c r="N541" s="3" t="s">
        <v>69</v>
      </c>
    </row>
    <row r="542" spans="1:14" x14ac:dyDescent="0.25">
      <c r="A542" s="51">
        <v>1.331</v>
      </c>
      <c r="B542" s="53">
        <v>11581.64</v>
      </c>
      <c r="C542" s="53">
        <v>1024.6124</v>
      </c>
      <c r="D542" s="53">
        <v>512.30619999999999</v>
      </c>
      <c r="E542" s="53">
        <v>512.30619999999999</v>
      </c>
      <c r="F542" s="53">
        <v>2049.2247000000002</v>
      </c>
      <c r="G542" s="53">
        <v>1024.6124</v>
      </c>
      <c r="H542" s="53">
        <v>1024.6124</v>
      </c>
      <c r="I542" s="53">
        <v>2049.2247000000002</v>
      </c>
      <c r="J542" s="53">
        <v>564.12350000000004</v>
      </c>
      <c r="K542" s="53">
        <v>1692.3705</v>
      </c>
      <c r="L542" s="53">
        <v>564.12350000000004</v>
      </c>
      <c r="M542" s="53">
        <v>564.12350000000004</v>
      </c>
      <c r="N542" s="3" t="s">
        <v>69</v>
      </c>
    </row>
    <row r="543" spans="1:14" x14ac:dyDescent="0.25">
      <c r="A543" s="51">
        <v>1.3320000000000001</v>
      </c>
      <c r="B543" s="53">
        <v>11587.7984</v>
      </c>
      <c r="C543" s="53">
        <v>1025.3822</v>
      </c>
      <c r="D543" s="53">
        <v>512.69110000000001</v>
      </c>
      <c r="E543" s="53">
        <v>512.69110000000001</v>
      </c>
      <c r="F543" s="53">
        <v>2050.7644</v>
      </c>
      <c r="G543" s="53">
        <v>1025.3822</v>
      </c>
      <c r="H543" s="53">
        <v>1025.3822</v>
      </c>
      <c r="I543" s="53">
        <v>2050.7644</v>
      </c>
      <c r="J543" s="53">
        <v>564.12350000000004</v>
      </c>
      <c r="K543" s="53">
        <v>1692.3705</v>
      </c>
      <c r="L543" s="53">
        <v>564.12350000000004</v>
      </c>
      <c r="M543" s="53">
        <v>564.12350000000004</v>
      </c>
      <c r="N543" s="3" t="s">
        <v>69</v>
      </c>
    </row>
    <row r="544" spans="1:14" x14ac:dyDescent="0.25">
      <c r="A544" s="51">
        <v>1.333</v>
      </c>
      <c r="B544" s="53">
        <v>11593.956899999999</v>
      </c>
      <c r="C544" s="53">
        <v>1026.152</v>
      </c>
      <c r="D544" s="53">
        <v>513.07600000000002</v>
      </c>
      <c r="E544" s="53">
        <v>513.07600000000002</v>
      </c>
      <c r="F544" s="53">
        <v>2052.3040000000001</v>
      </c>
      <c r="G544" s="53">
        <v>1026.152</v>
      </c>
      <c r="H544" s="53">
        <v>1026.152</v>
      </c>
      <c r="I544" s="53">
        <v>2052.3040000000001</v>
      </c>
      <c r="J544" s="53">
        <v>564.12350000000004</v>
      </c>
      <c r="K544" s="53">
        <v>1692.3705</v>
      </c>
      <c r="L544" s="53">
        <v>564.12350000000004</v>
      </c>
      <c r="M544" s="53">
        <v>564.12350000000004</v>
      </c>
      <c r="N544" s="3" t="s">
        <v>69</v>
      </c>
    </row>
    <row r="545" spans="1:14" x14ac:dyDescent="0.25">
      <c r="A545" s="51">
        <v>1.3340000000000001</v>
      </c>
      <c r="B545" s="53">
        <v>11600.115299999999</v>
      </c>
      <c r="C545" s="53">
        <v>1026.9218000000001</v>
      </c>
      <c r="D545" s="53">
        <v>513.46090000000004</v>
      </c>
      <c r="E545" s="53">
        <v>513.46090000000004</v>
      </c>
      <c r="F545" s="53">
        <v>2053.8436000000002</v>
      </c>
      <c r="G545" s="53">
        <v>1026.9218000000001</v>
      </c>
      <c r="H545" s="53">
        <v>1026.9218000000001</v>
      </c>
      <c r="I545" s="53">
        <v>2053.8436000000002</v>
      </c>
      <c r="J545" s="53">
        <v>564.12350000000004</v>
      </c>
      <c r="K545" s="53">
        <v>1692.3705</v>
      </c>
      <c r="L545" s="53">
        <v>564.12350000000004</v>
      </c>
      <c r="M545" s="53">
        <v>564.12350000000004</v>
      </c>
      <c r="N545" s="3" t="s">
        <v>69</v>
      </c>
    </row>
    <row r="546" spans="1:14" x14ac:dyDescent="0.25">
      <c r="A546" s="51">
        <v>1.335</v>
      </c>
      <c r="B546" s="53">
        <v>11606.273800000001</v>
      </c>
      <c r="C546" s="53">
        <v>1027.6916000000001</v>
      </c>
      <c r="D546" s="53">
        <v>513.84580000000005</v>
      </c>
      <c r="E546" s="53">
        <v>513.84580000000005</v>
      </c>
      <c r="F546" s="53">
        <v>2055.3832000000002</v>
      </c>
      <c r="G546" s="53">
        <v>1027.6916000000001</v>
      </c>
      <c r="H546" s="53">
        <v>1027.6916000000001</v>
      </c>
      <c r="I546" s="53">
        <v>2055.3832000000002</v>
      </c>
      <c r="J546" s="53">
        <v>564.12350000000004</v>
      </c>
      <c r="K546" s="53">
        <v>1692.3705</v>
      </c>
      <c r="L546" s="53">
        <v>564.12350000000004</v>
      </c>
      <c r="M546" s="53">
        <v>564.12350000000004</v>
      </c>
      <c r="N546" s="3" t="s">
        <v>69</v>
      </c>
    </row>
    <row r="547" spans="1:14" x14ac:dyDescent="0.25">
      <c r="A547" s="51">
        <v>1.3360000000000001</v>
      </c>
      <c r="B547" s="53">
        <v>11612.432199999999</v>
      </c>
      <c r="C547" s="53">
        <v>1028.4613999999999</v>
      </c>
      <c r="D547" s="53">
        <v>514.23069999999996</v>
      </c>
      <c r="E547" s="53">
        <v>514.23069999999996</v>
      </c>
      <c r="F547" s="53">
        <v>2056.9227999999998</v>
      </c>
      <c r="G547" s="53">
        <v>1028.4613999999999</v>
      </c>
      <c r="H547" s="53">
        <v>1028.4613999999999</v>
      </c>
      <c r="I547" s="53">
        <v>2056.9227999999998</v>
      </c>
      <c r="J547" s="53">
        <v>564.12350000000004</v>
      </c>
      <c r="K547" s="53">
        <v>1692.3705</v>
      </c>
      <c r="L547" s="53">
        <v>564.12350000000004</v>
      </c>
      <c r="M547" s="53">
        <v>564.12350000000004</v>
      </c>
      <c r="N547" s="3" t="s">
        <v>69</v>
      </c>
    </row>
    <row r="548" spans="1:14" x14ac:dyDescent="0.25">
      <c r="A548" s="51">
        <v>1.337</v>
      </c>
      <c r="B548" s="53">
        <v>11618.590700000001</v>
      </c>
      <c r="C548" s="53">
        <v>1029.2311999999999</v>
      </c>
      <c r="D548" s="53">
        <v>514.61559999999997</v>
      </c>
      <c r="E548" s="53">
        <v>514.61559999999997</v>
      </c>
      <c r="F548" s="53">
        <v>2058.4623999999999</v>
      </c>
      <c r="G548" s="53">
        <v>1029.2311999999999</v>
      </c>
      <c r="H548" s="53">
        <v>1029.2311999999999</v>
      </c>
      <c r="I548" s="53">
        <v>2058.4623999999999</v>
      </c>
      <c r="J548" s="53">
        <v>564.12350000000004</v>
      </c>
      <c r="K548" s="53">
        <v>1692.3705</v>
      </c>
      <c r="L548" s="53">
        <v>564.12350000000004</v>
      </c>
      <c r="M548" s="53">
        <v>564.12350000000004</v>
      </c>
      <c r="N548" s="3" t="s">
        <v>69</v>
      </c>
    </row>
    <row r="549" spans="1:14" x14ac:dyDescent="0.25">
      <c r="A549" s="51">
        <v>1.3380000000000001</v>
      </c>
      <c r="B549" s="53">
        <v>11624.749100000001</v>
      </c>
      <c r="C549" s="53">
        <v>1030.001</v>
      </c>
      <c r="D549" s="53">
        <v>515.00049999999999</v>
      </c>
      <c r="E549" s="53">
        <v>515.00049999999999</v>
      </c>
      <c r="F549" s="53">
        <v>2060.002</v>
      </c>
      <c r="G549" s="53">
        <v>1030.001</v>
      </c>
      <c r="H549" s="53">
        <v>1030.001</v>
      </c>
      <c r="I549" s="53">
        <v>2060.002</v>
      </c>
      <c r="J549" s="53">
        <v>564.12350000000004</v>
      </c>
      <c r="K549" s="53">
        <v>1692.3705</v>
      </c>
      <c r="L549" s="53">
        <v>564.12350000000004</v>
      </c>
      <c r="M549" s="53">
        <v>564.12350000000004</v>
      </c>
      <c r="N549" s="3" t="s">
        <v>69</v>
      </c>
    </row>
    <row r="550" spans="1:14" x14ac:dyDescent="0.25">
      <c r="A550" s="51">
        <v>1.339</v>
      </c>
      <c r="B550" s="53">
        <v>11630.9076</v>
      </c>
      <c r="C550" s="53">
        <v>1030.7708</v>
      </c>
      <c r="D550" s="53">
        <v>515.3854</v>
      </c>
      <c r="E550" s="53">
        <v>515.3854</v>
      </c>
      <c r="F550" s="53">
        <v>2061.5416</v>
      </c>
      <c r="G550" s="53">
        <v>1030.7708</v>
      </c>
      <c r="H550" s="53">
        <v>1030.7708</v>
      </c>
      <c r="I550" s="53">
        <v>2061.5416</v>
      </c>
      <c r="J550" s="53">
        <v>564.12350000000004</v>
      </c>
      <c r="K550" s="53">
        <v>1692.3705</v>
      </c>
      <c r="L550" s="53">
        <v>564.12350000000004</v>
      </c>
      <c r="M550" s="53">
        <v>564.12350000000004</v>
      </c>
      <c r="N550" s="3" t="s">
        <v>69</v>
      </c>
    </row>
    <row r="551" spans="1:14" x14ac:dyDescent="0.25">
      <c r="A551" s="51">
        <v>1.34</v>
      </c>
      <c r="B551" s="53">
        <v>11637.066000000001</v>
      </c>
      <c r="C551" s="53">
        <v>1031.5406</v>
      </c>
      <c r="D551" s="53">
        <v>515.77030000000002</v>
      </c>
      <c r="E551" s="53">
        <v>515.77030000000002</v>
      </c>
      <c r="F551" s="53">
        <v>2063.0812999999998</v>
      </c>
      <c r="G551" s="53">
        <v>1031.5406</v>
      </c>
      <c r="H551" s="53">
        <v>1031.5406</v>
      </c>
      <c r="I551" s="53">
        <v>2063.0812999999998</v>
      </c>
      <c r="J551" s="53">
        <v>564.12350000000004</v>
      </c>
      <c r="K551" s="53">
        <v>1692.3705</v>
      </c>
      <c r="L551" s="53">
        <v>564.12350000000004</v>
      </c>
      <c r="M551" s="53">
        <v>564.12350000000004</v>
      </c>
      <c r="N551" s="3" t="s">
        <v>69</v>
      </c>
    </row>
    <row r="552" spans="1:14" x14ac:dyDescent="0.25">
      <c r="A552" s="51">
        <v>1.341</v>
      </c>
      <c r="B552" s="53">
        <v>11643.2245</v>
      </c>
      <c r="C552" s="53">
        <v>1032.3104000000001</v>
      </c>
      <c r="D552" s="53">
        <v>516.15520000000004</v>
      </c>
      <c r="E552" s="53">
        <v>516.15520000000004</v>
      </c>
      <c r="F552" s="53">
        <v>2064.6208999999999</v>
      </c>
      <c r="G552" s="53">
        <v>1032.3104000000001</v>
      </c>
      <c r="H552" s="53">
        <v>1032.3104000000001</v>
      </c>
      <c r="I552" s="53">
        <v>2064.6208999999999</v>
      </c>
      <c r="J552" s="53">
        <v>564.12350000000004</v>
      </c>
      <c r="K552" s="53">
        <v>1692.3705</v>
      </c>
      <c r="L552" s="53">
        <v>564.12350000000004</v>
      </c>
      <c r="M552" s="53">
        <v>564.12350000000004</v>
      </c>
      <c r="N552" s="3" t="s">
        <v>69</v>
      </c>
    </row>
    <row r="553" spans="1:14" x14ac:dyDescent="0.25">
      <c r="A553" s="51">
        <v>1.3420000000000001</v>
      </c>
      <c r="B553" s="53">
        <v>11649.382900000001</v>
      </c>
      <c r="C553" s="53">
        <v>1033.0802000000001</v>
      </c>
      <c r="D553" s="53">
        <v>516.54010000000005</v>
      </c>
      <c r="E553" s="53">
        <v>516.54010000000005</v>
      </c>
      <c r="F553" s="53">
        <v>2066.1605</v>
      </c>
      <c r="G553" s="53">
        <v>1033.0802000000001</v>
      </c>
      <c r="H553" s="53">
        <v>1033.0802000000001</v>
      </c>
      <c r="I553" s="53">
        <v>2066.1605</v>
      </c>
      <c r="J553" s="53">
        <v>564.12350000000004</v>
      </c>
      <c r="K553" s="53">
        <v>1692.3705</v>
      </c>
      <c r="L553" s="53">
        <v>564.12350000000004</v>
      </c>
      <c r="M553" s="53">
        <v>564.12350000000004</v>
      </c>
      <c r="N553" s="3" t="s">
        <v>69</v>
      </c>
    </row>
    <row r="554" spans="1:14" x14ac:dyDescent="0.25">
      <c r="A554" s="51">
        <v>1.343</v>
      </c>
      <c r="B554" s="53">
        <v>11655.5414</v>
      </c>
      <c r="C554" s="53">
        <v>1033.8499999999999</v>
      </c>
      <c r="D554" s="53">
        <v>516.92499999999995</v>
      </c>
      <c r="E554" s="53">
        <v>516.92499999999995</v>
      </c>
      <c r="F554" s="53">
        <v>2067.7001</v>
      </c>
      <c r="G554" s="53">
        <v>1033.8499999999999</v>
      </c>
      <c r="H554" s="53">
        <v>1033.8499999999999</v>
      </c>
      <c r="I554" s="53">
        <v>2067.7001</v>
      </c>
      <c r="J554" s="53">
        <v>564.12350000000004</v>
      </c>
      <c r="K554" s="53">
        <v>1692.3705</v>
      </c>
      <c r="L554" s="53">
        <v>564.12350000000004</v>
      </c>
      <c r="M554" s="53">
        <v>564.12350000000004</v>
      </c>
      <c r="N554" s="3" t="s">
        <v>69</v>
      </c>
    </row>
    <row r="555" spans="1:14" x14ac:dyDescent="0.25">
      <c r="A555" s="51">
        <v>1.3440000000000001</v>
      </c>
      <c r="B555" s="53">
        <v>11661.6998</v>
      </c>
      <c r="C555" s="53">
        <v>1034.6198999999999</v>
      </c>
      <c r="D555" s="53">
        <v>517.30989999999997</v>
      </c>
      <c r="E555" s="53">
        <v>517.30989999999997</v>
      </c>
      <c r="F555" s="53">
        <v>2069.2397000000001</v>
      </c>
      <c r="G555" s="53">
        <v>1034.6198999999999</v>
      </c>
      <c r="H555" s="53">
        <v>1034.6198999999999</v>
      </c>
      <c r="I555" s="53">
        <v>2069.2397000000001</v>
      </c>
      <c r="J555" s="53">
        <v>564.12350000000004</v>
      </c>
      <c r="K555" s="53">
        <v>1692.3705</v>
      </c>
      <c r="L555" s="53">
        <v>564.12350000000004</v>
      </c>
      <c r="M555" s="53">
        <v>564.12350000000004</v>
      </c>
      <c r="N555" s="3" t="s">
        <v>69</v>
      </c>
    </row>
    <row r="556" spans="1:14" x14ac:dyDescent="0.25">
      <c r="A556" s="51">
        <v>1.345</v>
      </c>
      <c r="B556" s="53">
        <v>11667.8583</v>
      </c>
      <c r="C556" s="53">
        <v>1035.3896999999999</v>
      </c>
      <c r="D556" s="53">
        <v>517.69479999999999</v>
      </c>
      <c r="E556" s="53">
        <v>517.69479999999999</v>
      </c>
      <c r="F556" s="53">
        <v>2070.7793000000001</v>
      </c>
      <c r="G556" s="53">
        <v>1035.3896999999999</v>
      </c>
      <c r="H556" s="53">
        <v>1035.3896999999999</v>
      </c>
      <c r="I556" s="53">
        <v>2070.7793000000001</v>
      </c>
      <c r="J556" s="53">
        <v>564.12350000000004</v>
      </c>
      <c r="K556" s="53">
        <v>1692.3705</v>
      </c>
      <c r="L556" s="53">
        <v>564.12350000000004</v>
      </c>
      <c r="M556" s="53">
        <v>564.12350000000004</v>
      </c>
      <c r="N556" s="3" t="s">
        <v>69</v>
      </c>
    </row>
    <row r="557" spans="1:14" x14ac:dyDescent="0.25">
      <c r="A557" s="51">
        <v>1.3460000000000001</v>
      </c>
      <c r="B557" s="53">
        <v>11674.0167</v>
      </c>
      <c r="C557" s="53">
        <v>1036.1595</v>
      </c>
      <c r="D557" s="53">
        <v>518.0797</v>
      </c>
      <c r="E557" s="53">
        <v>518.0797</v>
      </c>
      <c r="F557" s="53">
        <v>2072.3189000000002</v>
      </c>
      <c r="G557" s="53">
        <v>1036.1595</v>
      </c>
      <c r="H557" s="53">
        <v>1036.1595</v>
      </c>
      <c r="I557" s="53">
        <v>2072.3189000000002</v>
      </c>
      <c r="J557" s="53">
        <v>564.12350000000004</v>
      </c>
      <c r="K557" s="53">
        <v>1692.3705</v>
      </c>
      <c r="L557" s="53">
        <v>564.12350000000004</v>
      </c>
      <c r="M557" s="53">
        <v>564.12350000000004</v>
      </c>
      <c r="N557" s="3" t="s">
        <v>69</v>
      </c>
    </row>
    <row r="558" spans="1:14" x14ac:dyDescent="0.25">
      <c r="A558" s="51">
        <v>1.347</v>
      </c>
      <c r="B558" s="53">
        <v>11680.1752</v>
      </c>
      <c r="C558" s="53">
        <v>1036.9293</v>
      </c>
      <c r="D558" s="53">
        <v>518.46460000000002</v>
      </c>
      <c r="E558" s="53">
        <v>518.46460000000002</v>
      </c>
      <c r="F558" s="53">
        <v>2073.8584999999998</v>
      </c>
      <c r="G558" s="53">
        <v>1036.9293</v>
      </c>
      <c r="H558" s="53">
        <v>1036.9293</v>
      </c>
      <c r="I558" s="53">
        <v>2073.8584999999998</v>
      </c>
      <c r="J558" s="53">
        <v>564.12350000000004</v>
      </c>
      <c r="K558" s="53">
        <v>1692.3705</v>
      </c>
      <c r="L558" s="53">
        <v>564.12350000000004</v>
      </c>
      <c r="M558" s="53">
        <v>564.12350000000004</v>
      </c>
      <c r="N558" s="3" t="s">
        <v>69</v>
      </c>
    </row>
    <row r="559" spans="1:14" x14ac:dyDescent="0.25">
      <c r="A559" s="51">
        <v>1.3480000000000001</v>
      </c>
      <c r="B559" s="53">
        <v>11686.3336</v>
      </c>
      <c r="C559" s="53">
        <v>1037.6991</v>
      </c>
      <c r="D559" s="53">
        <v>518.84950000000003</v>
      </c>
      <c r="E559" s="53">
        <v>518.84950000000003</v>
      </c>
      <c r="F559" s="53">
        <v>2075.3982000000001</v>
      </c>
      <c r="G559" s="53">
        <v>1037.6991</v>
      </c>
      <c r="H559" s="53">
        <v>1037.6991</v>
      </c>
      <c r="I559" s="53">
        <v>2075.3982000000001</v>
      </c>
      <c r="J559" s="53">
        <v>564.12350000000004</v>
      </c>
      <c r="K559" s="53">
        <v>1692.3705</v>
      </c>
      <c r="L559" s="53">
        <v>564.12350000000004</v>
      </c>
      <c r="M559" s="53">
        <v>564.12350000000004</v>
      </c>
      <c r="N559" s="3" t="s">
        <v>69</v>
      </c>
    </row>
    <row r="560" spans="1:14" x14ac:dyDescent="0.25">
      <c r="A560" s="51">
        <v>1.349</v>
      </c>
      <c r="B560" s="53">
        <v>11692.492099999999</v>
      </c>
      <c r="C560" s="53">
        <v>1038.4689000000001</v>
      </c>
      <c r="D560" s="53">
        <v>519.23440000000005</v>
      </c>
      <c r="E560" s="53">
        <v>519.23440000000005</v>
      </c>
      <c r="F560" s="53">
        <v>2076.9378000000002</v>
      </c>
      <c r="G560" s="53">
        <v>1038.4689000000001</v>
      </c>
      <c r="H560" s="53">
        <v>1038.4689000000001</v>
      </c>
      <c r="I560" s="53">
        <v>2076.9378000000002</v>
      </c>
      <c r="J560" s="53">
        <v>564.12350000000004</v>
      </c>
      <c r="K560" s="53">
        <v>1692.3705</v>
      </c>
      <c r="L560" s="53">
        <v>564.12350000000004</v>
      </c>
      <c r="M560" s="53">
        <v>564.12350000000004</v>
      </c>
      <c r="N560" s="3" t="s">
        <v>69</v>
      </c>
    </row>
    <row r="561" spans="1:14" x14ac:dyDescent="0.25">
      <c r="A561" s="51">
        <v>1.35</v>
      </c>
      <c r="B561" s="53">
        <v>11698.6505</v>
      </c>
      <c r="C561" s="53">
        <v>1039.2387000000001</v>
      </c>
      <c r="D561" s="53">
        <v>519.61929999999995</v>
      </c>
      <c r="E561" s="53">
        <v>519.61929999999995</v>
      </c>
      <c r="F561" s="53">
        <v>2078.4774000000002</v>
      </c>
      <c r="G561" s="53">
        <v>1039.2387000000001</v>
      </c>
      <c r="H561" s="53">
        <v>1039.2387000000001</v>
      </c>
      <c r="I561" s="53">
        <v>2078.4774000000002</v>
      </c>
      <c r="J561" s="53">
        <v>564.12350000000004</v>
      </c>
      <c r="K561" s="53">
        <v>1692.3705</v>
      </c>
      <c r="L561" s="53">
        <v>564.12350000000004</v>
      </c>
      <c r="M561" s="53">
        <v>564.12350000000004</v>
      </c>
      <c r="N561" s="3" t="s">
        <v>69</v>
      </c>
    </row>
    <row r="562" spans="1:14" x14ac:dyDescent="0.25">
      <c r="A562" s="51">
        <v>1.351</v>
      </c>
      <c r="B562" s="53">
        <v>11704.808999999999</v>
      </c>
      <c r="C562" s="53">
        <v>1040.0084999999999</v>
      </c>
      <c r="D562" s="53">
        <v>520.00419999999997</v>
      </c>
      <c r="E562" s="53">
        <v>520.00419999999997</v>
      </c>
      <c r="F562" s="53">
        <v>2080.0169999999998</v>
      </c>
      <c r="G562" s="53">
        <v>1040.0084999999999</v>
      </c>
      <c r="H562" s="53">
        <v>1040.0084999999999</v>
      </c>
      <c r="I562" s="53">
        <v>2080.0169999999998</v>
      </c>
      <c r="J562" s="53">
        <v>564.12350000000004</v>
      </c>
      <c r="K562" s="53">
        <v>1692.3705</v>
      </c>
      <c r="L562" s="53">
        <v>564.12350000000004</v>
      </c>
      <c r="M562" s="53">
        <v>564.12350000000004</v>
      </c>
      <c r="N562" s="3" t="s">
        <v>69</v>
      </c>
    </row>
    <row r="563" spans="1:14" x14ac:dyDescent="0.25">
      <c r="A563" s="51">
        <v>1.3520000000000001</v>
      </c>
      <c r="B563" s="53">
        <v>11710.9674</v>
      </c>
      <c r="C563" s="53">
        <v>1040.7782999999999</v>
      </c>
      <c r="D563" s="53">
        <v>520.38919999999996</v>
      </c>
      <c r="E563" s="53">
        <v>520.38919999999996</v>
      </c>
      <c r="F563" s="53">
        <v>2081.5565999999999</v>
      </c>
      <c r="G563" s="53">
        <v>1040.7782999999999</v>
      </c>
      <c r="H563" s="53">
        <v>1040.7782999999999</v>
      </c>
      <c r="I563" s="53">
        <v>2081.5565999999999</v>
      </c>
      <c r="J563" s="53">
        <v>564.12350000000004</v>
      </c>
      <c r="K563" s="53">
        <v>1692.3705</v>
      </c>
      <c r="L563" s="53">
        <v>564.12350000000004</v>
      </c>
      <c r="M563" s="53">
        <v>564.12350000000004</v>
      </c>
      <c r="N563" s="3" t="s">
        <v>69</v>
      </c>
    </row>
    <row r="564" spans="1:14" x14ac:dyDescent="0.25">
      <c r="A564" s="51">
        <v>1.353</v>
      </c>
      <c r="B564" s="53">
        <v>11717.125899999999</v>
      </c>
      <c r="C564" s="53">
        <v>1041.5481</v>
      </c>
      <c r="D564" s="53">
        <v>520.77409999999998</v>
      </c>
      <c r="E564" s="53">
        <v>520.77409999999998</v>
      </c>
      <c r="F564" s="53">
        <v>2083.0962</v>
      </c>
      <c r="G564" s="53">
        <v>1041.5481</v>
      </c>
      <c r="H564" s="53">
        <v>1041.5481</v>
      </c>
      <c r="I564" s="53">
        <v>2083.0962</v>
      </c>
      <c r="J564" s="53">
        <v>564.12350000000004</v>
      </c>
      <c r="K564" s="53">
        <v>1692.3705</v>
      </c>
      <c r="L564" s="53">
        <v>564.12350000000004</v>
      </c>
      <c r="M564" s="53">
        <v>564.12350000000004</v>
      </c>
      <c r="N564" s="3" t="s">
        <v>69</v>
      </c>
    </row>
    <row r="565" spans="1:14" x14ac:dyDescent="0.25">
      <c r="A565" s="51">
        <v>1.3540000000000001</v>
      </c>
      <c r="B565" s="53">
        <v>11723.284299999999</v>
      </c>
      <c r="C565" s="53">
        <v>1042.3179</v>
      </c>
      <c r="D565" s="53">
        <v>521.15899999999999</v>
      </c>
      <c r="E565" s="53">
        <v>521.15899999999999</v>
      </c>
      <c r="F565" s="53">
        <v>2084.6358</v>
      </c>
      <c r="G565" s="53">
        <v>1042.3179</v>
      </c>
      <c r="H565" s="53">
        <v>1042.3179</v>
      </c>
      <c r="I565" s="53">
        <v>2084.6358</v>
      </c>
      <c r="J565" s="53">
        <v>564.12350000000004</v>
      </c>
      <c r="K565" s="53">
        <v>1692.3705</v>
      </c>
      <c r="L565" s="53">
        <v>564.12350000000004</v>
      </c>
      <c r="M565" s="53">
        <v>564.12350000000004</v>
      </c>
      <c r="N565" s="3" t="s">
        <v>69</v>
      </c>
    </row>
    <row r="566" spans="1:14" x14ac:dyDescent="0.25">
      <c r="A566" s="51">
        <v>1.355</v>
      </c>
      <c r="B566" s="53">
        <v>11729.442800000001</v>
      </c>
      <c r="C566" s="53">
        <v>1043.0877</v>
      </c>
      <c r="D566" s="53">
        <v>521.54390000000001</v>
      </c>
      <c r="E566" s="53">
        <v>521.54390000000001</v>
      </c>
      <c r="F566" s="53">
        <v>2086.1754999999998</v>
      </c>
      <c r="G566" s="53">
        <v>1043.0877</v>
      </c>
      <c r="H566" s="53">
        <v>1043.0877</v>
      </c>
      <c r="I566" s="53">
        <v>2086.1754999999998</v>
      </c>
      <c r="J566" s="53">
        <v>564.12350000000004</v>
      </c>
      <c r="K566" s="53">
        <v>1692.3705</v>
      </c>
      <c r="L566" s="53">
        <v>564.12350000000004</v>
      </c>
      <c r="M566" s="53">
        <v>564.12350000000004</v>
      </c>
      <c r="N566" s="3" t="s">
        <v>69</v>
      </c>
    </row>
    <row r="567" spans="1:14" x14ac:dyDescent="0.25">
      <c r="A567" s="51">
        <v>1.3560000000000001</v>
      </c>
      <c r="B567" s="53">
        <v>11735.601199999999</v>
      </c>
      <c r="C567" s="53">
        <v>1043.8575000000001</v>
      </c>
      <c r="D567" s="53">
        <v>521.92880000000002</v>
      </c>
      <c r="E567" s="53">
        <v>521.92880000000002</v>
      </c>
      <c r="F567" s="53">
        <v>2087.7150999999999</v>
      </c>
      <c r="G567" s="53">
        <v>1043.8575000000001</v>
      </c>
      <c r="H567" s="53">
        <v>1043.8575000000001</v>
      </c>
      <c r="I567" s="53">
        <v>2087.7150999999999</v>
      </c>
      <c r="J567" s="53">
        <v>564.12350000000004</v>
      </c>
      <c r="K567" s="53">
        <v>1692.3705</v>
      </c>
      <c r="L567" s="53">
        <v>564.12350000000004</v>
      </c>
      <c r="M567" s="53">
        <v>564.12350000000004</v>
      </c>
      <c r="N567" s="3" t="s">
        <v>69</v>
      </c>
    </row>
    <row r="568" spans="1:14" x14ac:dyDescent="0.25">
      <c r="A568" s="51">
        <v>1.357</v>
      </c>
      <c r="B568" s="53">
        <v>11741.759700000001</v>
      </c>
      <c r="C568" s="53">
        <v>1044.6273000000001</v>
      </c>
      <c r="D568" s="53">
        <v>522.31370000000004</v>
      </c>
      <c r="E568" s="53">
        <v>522.31370000000004</v>
      </c>
      <c r="F568" s="53">
        <v>2089.2547</v>
      </c>
      <c r="G568" s="53">
        <v>1044.6273000000001</v>
      </c>
      <c r="H568" s="53">
        <v>1044.6273000000001</v>
      </c>
      <c r="I568" s="53">
        <v>2089.2547</v>
      </c>
      <c r="J568" s="53">
        <v>564.12350000000004</v>
      </c>
      <c r="K568" s="53">
        <v>1692.3705</v>
      </c>
      <c r="L568" s="53">
        <v>564.12350000000004</v>
      </c>
      <c r="M568" s="53">
        <v>564.12350000000004</v>
      </c>
      <c r="N568" s="3" t="s">
        <v>69</v>
      </c>
    </row>
    <row r="569" spans="1:14" x14ac:dyDescent="0.25">
      <c r="A569" s="51">
        <v>1.3580000000000001</v>
      </c>
      <c r="B569" s="53">
        <v>11747.9182</v>
      </c>
      <c r="C569" s="53">
        <v>1045.3970999999999</v>
      </c>
      <c r="D569" s="53">
        <v>522.69860000000006</v>
      </c>
      <c r="E569" s="53">
        <v>522.69860000000006</v>
      </c>
      <c r="F569" s="53">
        <v>2090.7943</v>
      </c>
      <c r="G569" s="53">
        <v>1045.3970999999999</v>
      </c>
      <c r="H569" s="53">
        <v>1045.3970999999999</v>
      </c>
      <c r="I569" s="53">
        <v>2090.7943</v>
      </c>
      <c r="J569" s="53">
        <v>564.12350000000004</v>
      </c>
      <c r="K569" s="53">
        <v>1692.3705</v>
      </c>
      <c r="L569" s="53">
        <v>564.12350000000004</v>
      </c>
      <c r="M569" s="53">
        <v>564.12350000000004</v>
      </c>
      <c r="N569" s="3" t="s">
        <v>69</v>
      </c>
    </row>
    <row r="570" spans="1:14" x14ac:dyDescent="0.25">
      <c r="A570" s="51">
        <v>1.359</v>
      </c>
      <c r="B570" s="53">
        <v>11754.0766</v>
      </c>
      <c r="C570" s="53">
        <v>1046.1669999999999</v>
      </c>
      <c r="D570" s="53">
        <v>523.08349999999996</v>
      </c>
      <c r="E570" s="53">
        <v>523.08349999999996</v>
      </c>
      <c r="F570" s="53">
        <v>2092.3339000000001</v>
      </c>
      <c r="G570" s="53">
        <v>1046.1669999999999</v>
      </c>
      <c r="H570" s="53">
        <v>1046.1669999999999</v>
      </c>
      <c r="I570" s="53">
        <v>2092.3339000000001</v>
      </c>
      <c r="J570" s="53">
        <v>564.12350000000004</v>
      </c>
      <c r="K570" s="53">
        <v>1692.3705</v>
      </c>
      <c r="L570" s="53">
        <v>564.12350000000004</v>
      </c>
      <c r="M570" s="53">
        <v>564.12350000000004</v>
      </c>
      <c r="N570" s="3" t="s">
        <v>69</v>
      </c>
    </row>
    <row r="571" spans="1:14" x14ac:dyDescent="0.25">
      <c r="A571" s="51">
        <v>1.36</v>
      </c>
      <c r="B571" s="53">
        <v>11760.2351</v>
      </c>
      <c r="C571" s="53">
        <v>1046.9367999999999</v>
      </c>
      <c r="D571" s="53">
        <v>523.46839999999997</v>
      </c>
      <c r="E571" s="53">
        <v>523.46839999999997</v>
      </c>
      <c r="F571" s="53">
        <v>2093.8735000000001</v>
      </c>
      <c r="G571" s="53">
        <v>1046.9367999999999</v>
      </c>
      <c r="H571" s="53">
        <v>1046.9367999999999</v>
      </c>
      <c r="I571" s="53">
        <v>2093.8735000000001</v>
      </c>
      <c r="J571" s="53">
        <v>564.12350000000004</v>
      </c>
      <c r="K571" s="53">
        <v>1692.3705</v>
      </c>
      <c r="L571" s="53">
        <v>564.12350000000004</v>
      </c>
      <c r="M571" s="53">
        <v>564.12350000000004</v>
      </c>
      <c r="N571" s="3" t="s">
        <v>69</v>
      </c>
    </row>
    <row r="572" spans="1:14" x14ac:dyDescent="0.25">
      <c r="A572" s="51">
        <v>1.361</v>
      </c>
      <c r="B572" s="53">
        <v>11766.3935</v>
      </c>
      <c r="C572" s="53">
        <v>1047.7066</v>
      </c>
      <c r="D572" s="53">
        <v>523.85329999999999</v>
      </c>
      <c r="E572" s="53">
        <v>523.85329999999999</v>
      </c>
      <c r="F572" s="53">
        <v>2095.4131000000002</v>
      </c>
      <c r="G572" s="53">
        <v>1047.7066</v>
      </c>
      <c r="H572" s="53">
        <v>1047.7066</v>
      </c>
      <c r="I572" s="53">
        <v>2095.4131000000002</v>
      </c>
      <c r="J572" s="53">
        <v>564.12350000000004</v>
      </c>
      <c r="K572" s="53">
        <v>1692.3705</v>
      </c>
      <c r="L572" s="53">
        <v>564.12350000000004</v>
      </c>
      <c r="M572" s="53">
        <v>564.12350000000004</v>
      </c>
      <c r="N572" s="3" t="s">
        <v>69</v>
      </c>
    </row>
    <row r="573" spans="1:14" x14ac:dyDescent="0.25">
      <c r="A573" s="51">
        <v>1.3620000000000001</v>
      </c>
      <c r="B573" s="53">
        <v>11772.552</v>
      </c>
      <c r="C573" s="53">
        <v>1048.4764</v>
      </c>
      <c r="D573" s="53">
        <v>524.23820000000001</v>
      </c>
      <c r="E573" s="53">
        <v>524.23820000000001</v>
      </c>
      <c r="F573" s="53">
        <v>2096.9526999999998</v>
      </c>
      <c r="G573" s="53">
        <v>1048.4764</v>
      </c>
      <c r="H573" s="53">
        <v>1048.4764</v>
      </c>
      <c r="I573" s="53">
        <v>2096.9526999999998</v>
      </c>
      <c r="J573" s="53">
        <v>564.12350000000004</v>
      </c>
      <c r="K573" s="53">
        <v>1692.3705</v>
      </c>
      <c r="L573" s="53">
        <v>564.12350000000004</v>
      </c>
      <c r="M573" s="53">
        <v>564.12350000000004</v>
      </c>
      <c r="N573" s="3" t="s">
        <v>69</v>
      </c>
    </row>
    <row r="574" spans="1:14" x14ac:dyDescent="0.25">
      <c r="A574" s="51">
        <v>1.363</v>
      </c>
      <c r="B574" s="53">
        <v>11778.7104</v>
      </c>
      <c r="C574" s="53">
        <v>1049.2462</v>
      </c>
      <c r="D574" s="53">
        <v>524.62310000000002</v>
      </c>
      <c r="E574" s="53">
        <v>524.62310000000002</v>
      </c>
      <c r="F574" s="53">
        <v>2098.4924000000001</v>
      </c>
      <c r="G574" s="53">
        <v>1049.2462</v>
      </c>
      <c r="H574" s="53">
        <v>1049.2462</v>
      </c>
      <c r="I574" s="53">
        <v>2098.4924000000001</v>
      </c>
      <c r="J574" s="53">
        <v>564.12350000000004</v>
      </c>
      <c r="K574" s="53">
        <v>1692.3705</v>
      </c>
      <c r="L574" s="53">
        <v>564.12350000000004</v>
      </c>
      <c r="M574" s="53">
        <v>564.12350000000004</v>
      </c>
      <c r="N574" s="3" t="s">
        <v>69</v>
      </c>
    </row>
    <row r="575" spans="1:14" x14ac:dyDescent="0.25">
      <c r="A575" s="51">
        <v>1.3640000000000001</v>
      </c>
      <c r="B575" s="53">
        <v>11784.868899999999</v>
      </c>
      <c r="C575" s="53">
        <v>1050.0160000000001</v>
      </c>
      <c r="D575" s="53">
        <v>525.00800000000004</v>
      </c>
      <c r="E575" s="53">
        <v>525.00800000000004</v>
      </c>
      <c r="F575" s="53">
        <v>2100.0320000000002</v>
      </c>
      <c r="G575" s="53">
        <v>1050.0160000000001</v>
      </c>
      <c r="H575" s="53">
        <v>1050.0160000000001</v>
      </c>
      <c r="I575" s="53">
        <v>2100.0320000000002</v>
      </c>
      <c r="J575" s="53">
        <v>564.12350000000004</v>
      </c>
      <c r="K575" s="53">
        <v>1692.3705</v>
      </c>
      <c r="L575" s="53">
        <v>564.12350000000004</v>
      </c>
      <c r="M575" s="53">
        <v>564.12350000000004</v>
      </c>
      <c r="N575" s="3" t="s">
        <v>69</v>
      </c>
    </row>
    <row r="576" spans="1:14" x14ac:dyDescent="0.25">
      <c r="A576" s="51">
        <v>1.365</v>
      </c>
      <c r="B576" s="53">
        <v>11791.0273</v>
      </c>
      <c r="C576" s="53">
        <v>1050.7858000000001</v>
      </c>
      <c r="D576" s="53">
        <v>525.39290000000005</v>
      </c>
      <c r="E576" s="53">
        <v>525.39290000000005</v>
      </c>
      <c r="F576" s="53">
        <v>2101.5716000000002</v>
      </c>
      <c r="G576" s="53">
        <v>1050.7858000000001</v>
      </c>
      <c r="H576" s="53">
        <v>1050.7858000000001</v>
      </c>
      <c r="I576" s="53">
        <v>2101.5716000000002</v>
      </c>
      <c r="J576" s="53">
        <v>564.12350000000004</v>
      </c>
      <c r="K576" s="53">
        <v>1692.3705</v>
      </c>
      <c r="L576" s="53">
        <v>564.12350000000004</v>
      </c>
      <c r="M576" s="53">
        <v>564.12350000000004</v>
      </c>
      <c r="N576" s="3" t="s">
        <v>69</v>
      </c>
    </row>
    <row r="577" spans="1:14" x14ac:dyDescent="0.25">
      <c r="A577" s="51">
        <v>1.3660000000000001</v>
      </c>
      <c r="B577" s="53">
        <v>11797.185799999999</v>
      </c>
      <c r="C577" s="53">
        <v>1051.5555999999999</v>
      </c>
      <c r="D577" s="53">
        <v>525.77779999999996</v>
      </c>
      <c r="E577" s="53">
        <v>525.77779999999996</v>
      </c>
      <c r="F577" s="53">
        <v>2103.1111999999998</v>
      </c>
      <c r="G577" s="53">
        <v>1051.5555999999999</v>
      </c>
      <c r="H577" s="53">
        <v>1051.5555999999999</v>
      </c>
      <c r="I577" s="53">
        <v>2103.1111999999998</v>
      </c>
      <c r="J577" s="53">
        <v>564.12350000000004</v>
      </c>
      <c r="K577" s="53">
        <v>1692.3705</v>
      </c>
      <c r="L577" s="53">
        <v>564.12350000000004</v>
      </c>
      <c r="M577" s="53">
        <v>564.12350000000004</v>
      </c>
      <c r="N577" s="3" t="s">
        <v>69</v>
      </c>
    </row>
    <row r="578" spans="1:14" x14ac:dyDescent="0.25">
      <c r="A578" s="51">
        <v>1.367</v>
      </c>
      <c r="B578" s="53">
        <v>11803.3442</v>
      </c>
      <c r="C578" s="53">
        <v>1052.3253999999999</v>
      </c>
      <c r="D578" s="53">
        <v>526.16269999999997</v>
      </c>
      <c r="E578" s="53">
        <v>526.16269999999997</v>
      </c>
      <c r="F578" s="53">
        <v>2104.6507999999999</v>
      </c>
      <c r="G578" s="53">
        <v>1052.3253999999999</v>
      </c>
      <c r="H578" s="53">
        <v>1052.3253999999999</v>
      </c>
      <c r="I578" s="53">
        <v>2104.6507999999999</v>
      </c>
      <c r="J578" s="53">
        <v>564.12350000000004</v>
      </c>
      <c r="K578" s="53">
        <v>1692.3705</v>
      </c>
      <c r="L578" s="53">
        <v>564.12350000000004</v>
      </c>
      <c r="M578" s="53">
        <v>564.12350000000004</v>
      </c>
      <c r="N578" s="3" t="s">
        <v>69</v>
      </c>
    </row>
    <row r="579" spans="1:14" x14ac:dyDescent="0.25">
      <c r="A579" s="51">
        <v>1.3680000000000001</v>
      </c>
      <c r="B579" s="53">
        <v>11809.502699999999</v>
      </c>
      <c r="C579" s="53">
        <v>1053.0952</v>
      </c>
      <c r="D579" s="53">
        <v>526.54759999999999</v>
      </c>
      <c r="E579" s="53">
        <v>526.54759999999999</v>
      </c>
      <c r="F579" s="53">
        <v>2106.1904</v>
      </c>
      <c r="G579" s="53">
        <v>1053.0952</v>
      </c>
      <c r="H579" s="53">
        <v>1053.0952</v>
      </c>
      <c r="I579" s="53">
        <v>2106.1904</v>
      </c>
      <c r="J579" s="53">
        <v>564.12350000000004</v>
      </c>
      <c r="K579" s="53">
        <v>1692.3705</v>
      </c>
      <c r="L579" s="53">
        <v>564.12350000000004</v>
      </c>
      <c r="M579" s="53">
        <v>564.12350000000004</v>
      </c>
      <c r="N579" s="3" t="s">
        <v>69</v>
      </c>
    </row>
    <row r="580" spans="1:14" x14ac:dyDescent="0.25">
      <c r="A580" s="51">
        <v>1.369</v>
      </c>
      <c r="B580" s="53">
        <v>11815.661099999999</v>
      </c>
      <c r="C580" s="53">
        <v>1053.865</v>
      </c>
      <c r="D580" s="53">
        <v>526.9325</v>
      </c>
      <c r="E580" s="53">
        <v>526.9325</v>
      </c>
      <c r="F580" s="53">
        <v>2107.73</v>
      </c>
      <c r="G580" s="53">
        <v>1053.865</v>
      </c>
      <c r="H580" s="53">
        <v>1053.865</v>
      </c>
      <c r="I580" s="53">
        <v>2107.73</v>
      </c>
      <c r="J580" s="53">
        <v>564.12350000000004</v>
      </c>
      <c r="K580" s="53">
        <v>1692.3705</v>
      </c>
      <c r="L580" s="53">
        <v>564.12350000000004</v>
      </c>
      <c r="M580" s="53">
        <v>564.12350000000004</v>
      </c>
      <c r="N580" s="3" t="s">
        <v>69</v>
      </c>
    </row>
    <row r="581" spans="1:14" x14ac:dyDescent="0.25">
      <c r="A581" s="51">
        <v>1.37</v>
      </c>
      <c r="B581" s="53">
        <v>11821.819600000001</v>
      </c>
      <c r="C581" s="53">
        <v>1054.6348</v>
      </c>
      <c r="D581" s="53">
        <v>527.31740000000002</v>
      </c>
      <c r="E581" s="53">
        <v>527.31740000000002</v>
      </c>
      <c r="F581" s="53">
        <v>2109.2696000000001</v>
      </c>
      <c r="G581" s="53">
        <v>1054.6348</v>
      </c>
      <c r="H581" s="53">
        <v>1054.6348</v>
      </c>
      <c r="I581" s="53">
        <v>2109.2696000000001</v>
      </c>
      <c r="J581" s="53">
        <v>564.12350000000004</v>
      </c>
      <c r="K581" s="53">
        <v>1692.3705</v>
      </c>
      <c r="L581" s="53">
        <v>564.12350000000004</v>
      </c>
      <c r="M581" s="53">
        <v>564.12350000000004</v>
      </c>
      <c r="N581" s="3" t="s">
        <v>69</v>
      </c>
    </row>
    <row r="582" spans="1:14" x14ac:dyDescent="0.25">
      <c r="A582" s="51">
        <v>1.371</v>
      </c>
      <c r="B582" s="53">
        <v>11827.977999999999</v>
      </c>
      <c r="C582" s="53">
        <v>1055.4046000000001</v>
      </c>
      <c r="D582" s="53">
        <v>527.70230000000004</v>
      </c>
      <c r="E582" s="53">
        <v>527.70230000000004</v>
      </c>
      <c r="F582" s="53">
        <v>2110.8092999999999</v>
      </c>
      <c r="G582" s="53">
        <v>1055.4046000000001</v>
      </c>
      <c r="H582" s="53">
        <v>1055.4046000000001</v>
      </c>
      <c r="I582" s="53">
        <v>2110.8092999999999</v>
      </c>
      <c r="J582" s="53">
        <v>564.12350000000004</v>
      </c>
      <c r="K582" s="53">
        <v>1692.3705</v>
      </c>
      <c r="L582" s="53">
        <v>564.12350000000004</v>
      </c>
      <c r="M582" s="53">
        <v>564.12350000000004</v>
      </c>
      <c r="N582" s="3" t="s">
        <v>69</v>
      </c>
    </row>
    <row r="583" spans="1:14" x14ac:dyDescent="0.25">
      <c r="A583" s="51">
        <v>1.3720000000000001</v>
      </c>
      <c r="B583" s="53">
        <v>11834.136500000001</v>
      </c>
      <c r="C583" s="53">
        <v>1056.1744000000001</v>
      </c>
      <c r="D583" s="53">
        <v>528.08720000000005</v>
      </c>
      <c r="E583" s="53">
        <v>528.08720000000005</v>
      </c>
      <c r="F583" s="53">
        <v>2112.3489</v>
      </c>
      <c r="G583" s="53">
        <v>1056.1744000000001</v>
      </c>
      <c r="H583" s="53">
        <v>1056.1744000000001</v>
      </c>
      <c r="I583" s="53">
        <v>2112.3489</v>
      </c>
      <c r="J583" s="53">
        <v>564.12350000000004</v>
      </c>
      <c r="K583" s="53">
        <v>1692.3705</v>
      </c>
      <c r="L583" s="53">
        <v>564.12350000000004</v>
      </c>
      <c r="M583" s="53">
        <v>564.12350000000004</v>
      </c>
      <c r="N583" s="3" t="s">
        <v>69</v>
      </c>
    </row>
    <row r="584" spans="1:14" x14ac:dyDescent="0.25">
      <c r="A584" s="51">
        <v>1.373</v>
      </c>
      <c r="B584" s="53">
        <v>11840.294900000001</v>
      </c>
      <c r="C584" s="53">
        <v>1056.9441999999999</v>
      </c>
      <c r="D584" s="53">
        <v>528.47209999999995</v>
      </c>
      <c r="E584" s="53">
        <v>528.47209999999995</v>
      </c>
      <c r="F584" s="53">
        <v>2113.8885</v>
      </c>
      <c r="G584" s="53">
        <v>1056.9441999999999</v>
      </c>
      <c r="H584" s="53">
        <v>1056.9441999999999</v>
      </c>
      <c r="I584" s="53">
        <v>2113.8885</v>
      </c>
      <c r="J584" s="53">
        <v>564.12350000000004</v>
      </c>
      <c r="K584" s="53">
        <v>1692.3705</v>
      </c>
      <c r="L584" s="53">
        <v>564.12350000000004</v>
      </c>
      <c r="M584" s="53">
        <v>564.12350000000004</v>
      </c>
      <c r="N584" s="3" t="s">
        <v>69</v>
      </c>
    </row>
    <row r="585" spans="1:14" x14ac:dyDescent="0.25">
      <c r="A585" s="51">
        <v>1.3740000000000001</v>
      </c>
      <c r="B585" s="53">
        <v>11846.4534</v>
      </c>
      <c r="C585" s="53">
        <v>1057.7139999999999</v>
      </c>
      <c r="D585" s="53">
        <v>528.85699999999997</v>
      </c>
      <c r="E585" s="53">
        <v>528.85699999999997</v>
      </c>
      <c r="F585" s="53">
        <v>2115.4281000000001</v>
      </c>
      <c r="G585" s="53">
        <v>1057.7139999999999</v>
      </c>
      <c r="H585" s="53">
        <v>1057.7139999999999</v>
      </c>
      <c r="I585" s="53">
        <v>2115.4281000000001</v>
      </c>
      <c r="J585" s="53">
        <v>564.12350000000004</v>
      </c>
      <c r="K585" s="53">
        <v>1692.3705</v>
      </c>
      <c r="L585" s="53">
        <v>564.12350000000004</v>
      </c>
      <c r="M585" s="53">
        <v>564.12350000000004</v>
      </c>
      <c r="N585" s="3" t="s">
        <v>69</v>
      </c>
    </row>
    <row r="586" spans="1:14" x14ac:dyDescent="0.25">
      <c r="A586" s="51">
        <v>1.375</v>
      </c>
      <c r="B586" s="53">
        <v>11852.611800000001</v>
      </c>
      <c r="C586" s="53">
        <v>1058.4838999999999</v>
      </c>
      <c r="D586" s="53">
        <v>529.24189999999999</v>
      </c>
      <c r="E586" s="53">
        <v>529.24189999999999</v>
      </c>
      <c r="F586" s="53">
        <v>2116.9677000000001</v>
      </c>
      <c r="G586" s="53">
        <v>1058.4838999999999</v>
      </c>
      <c r="H586" s="53">
        <v>1058.4838999999999</v>
      </c>
      <c r="I586" s="53">
        <v>2116.9677000000001</v>
      </c>
      <c r="J586" s="53">
        <v>564.12350000000004</v>
      </c>
      <c r="K586" s="53">
        <v>1692.3705</v>
      </c>
      <c r="L586" s="53">
        <v>564.12350000000004</v>
      </c>
      <c r="M586" s="53">
        <v>564.12350000000004</v>
      </c>
      <c r="N586" s="3" t="s">
        <v>69</v>
      </c>
    </row>
    <row r="587" spans="1:14" x14ac:dyDescent="0.25">
      <c r="A587" s="51">
        <v>1.3759999999999999</v>
      </c>
      <c r="B587" s="53">
        <v>11858.7703</v>
      </c>
      <c r="C587" s="53">
        <v>1059.2537</v>
      </c>
      <c r="D587" s="53">
        <v>529.6268</v>
      </c>
      <c r="E587" s="53">
        <v>529.6268</v>
      </c>
      <c r="F587" s="53">
        <v>2118.5073000000002</v>
      </c>
      <c r="G587" s="53">
        <v>1059.2537</v>
      </c>
      <c r="H587" s="53">
        <v>1059.2537</v>
      </c>
      <c r="I587" s="53">
        <v>2118.5073000000002</v>
      </c>
      <c r="J587" s="53">
        <v>564.12350000000004</v>
      </c>
      <c r="K587" s="53">
        <v>1692.3705</v>
      </c>
      <c r="L587" s="53">
        <v>564.12350000000004</v>
      </c>
      <c r="M587" s="53">
        <v>564.12350000000004</v>
      </c>
      <c r="N587" s="3" t="s">
        <v>69</v>
      </c>
    </row>
    <row r="588" spans="1:14" x14ac:dyDescent="0.25">
      <c r="A588" s="51">
        <v>1.377</v>
      </c>
      <c r="B588" s="53">
        <v>11864.9287</v>
      </c>
      <c r="C588" s="53">
        <v>1060.0235</v>
      </c>
      <c r="D588" s="53">
        <v>530.01170000000002</v>
      </c>
      <c r="E588" s="53">
        <v>530.01170000000002</v>
      </c>
      <c r="F588" s="53">
        <v>2120.0468999999998</v>
      </c>
      <c r="G588" s="53">
        <v>1060.0235</v>
      </c>
      <c r="H588" s="53">
        <v>1060.0235</v>
      </c>
      <c r="I588" s="53">
        <v>2120.0468999999998</v>
      </c>
      <c r="J588" s="53">
        <v>564.12350000000004</v>
      </c>
      <c r="K588" s="53">
        <v>1692.3705</v>
      </c>
      <c r="L588" s="53">
        <v>564.12350000000004</v>
      </c>
      <c r="M588" s="53">
        <v>564.12350000000004</v>
      </c>
      <c r="N588" s="3" t="s">
        <v>69</v>
      </c>
    </row>
    <row r="589" spans="1:14" x14ac:dyDescent="0.25">
      <c r="A589" s="51">
        <v>1.3779999999999999</v>
      </c>
      <c r="B589" s="53">
        <v>11871.0872</v>
      </c>
      <c r="C589" s="53">
        <v>1060.7933</v>
      </c>
      <c r="D589" s="53">
        <v>530.39660000000003</v>
      </c>
      <c r="E589" s="53">
        <v>530.39660000000003</v>
      </c>
      <c r="F589" s="53">
        <v>2121.5864999999999</v>
      </c>
      <c r="G589" s="53">
        <v>1060.7933</v>
      </c>
      <c r="H589" s="53">
        <v>1060.7933</v>
      </c>
      <c r="I589" s="53">
        <v>2121.5864999999999</v>
      </c>
      <c r="J589" s="53">
        <v>564.12350000000004</v>
      </c>
      <c r="K589" s="53">
        <v>1692.3705</v>
      </c>
      <c r="L589" s="53">
        <v>564.12350000000004</v>
      </c>
      <c r="M589" s="53">
        <v>564.12350000000004</v>
      </c>
      <c r="N589" s="3" t="s">
        <v>69</v>
      </c>
    </row>
    <row r="590" spans="1:14" x14ac:dyDescent="0.25">
      <c r="A590" s="51">
        <v>1.379</v>
      </c>
      <c r="B590" s="53">
        <v>11877.2456</v>
      </c>
      <c r="C590" s="53">
        <v>1061.5631000000001</v>
      </c>
      <c r="D590" s="53">
        <v>530.78150000000005</v>
      </c>
      <c r="E590" s="53">
        <v>530.78150000000005</v>
      </c>
      <c r="F590" s="53">
        <v>2123.1262000000002</v>
      </c>
      <c r="G590" s="53">
        <v>1061.5631000000001</v>
      </c>
      <c r="H590" s="53">
        <v>1061.5631000000001</v>
      </c>
      <c r="I590" s="53">
        <v>2123.1262000000002</v>
      </c>
      <c r="J590" s="53">
        <v>564.12350000000004</v>
      </c>
      <c r="K590" s="53">
        <v>1692.3705</v>
      </c>
      <c r="L590" s="53">
        <v>564.12350000000004</v>
      </c>
      <c r="M590" s="53">
        <v>564.12350000000004</v>
      </c>
      <c r="N590" s="3" t="s">
        <v>69</v>
      </c>
    </row>
    <row r="591" spans="1:14" x14ac:dyDescent="0.25">
      <c r="A591" s="51">
        <v>1.38</v>
      </c>
      <c r="B591" s="53">
        <v>11883.4041</v>
      </c>
      <c r="C591" s="53">
        <v>1062.3329000000001</v>
      </c>
      <c r="D591" s="53">
        <v>531.16639999999995</v>
      </c>
      <c r="E591" s="53">
        <v>531.16639999999995</v>
      </c>
      <c r="F591" s="53">
        <v>2124.6658000000002</v>
      </c>
      <c r="G591" s="53">
        <v>1062.3329000000001</v>
      </c>
      <c r="H591" s="53">
        <v>1062.3329000000001</v>
      </c>
      <c r="I591" s="53">
        <v>2124.6658000000002</v>
      </c>
      <c r="J591" s="53">
        <v>564.12350000000004</v>
      </c>
      <c r="K591" s="53">
        <v>1692.3705</v>
      </c>
      <c r="L591" s="53">
        <v>564.12350000000004</v>
      </c>
      <c r="M591" s="53">
        <v>564.12350000000004</v>
      </c>
      <c r="N591" s="3" t="s">
        <v>69</v>
      </c>
    </row>
    <row r="592" spans="1:14" x14ac:dyDescent="0.25">
      <c r="A592" s="51">
        <v>1.381</v>
      </c>
      <c r="B592" s="53">
        <v>11889.5625</v>
      </c>
      <c r="C592" s="53">
        <v>1063.1026999999999</v>
      </c>
      <c r="D592" s="53">
        <v>531.55129999999997</v>
      </c>
      <c r="E592" s="53">
        <v>531.55129999999997</v>
      </c>
      <c r="F592" s="53">
        <v>2126.2053999999998</v>
      </c>
      <c r="G592" s="53">
        <v>1063.1026999999999</v>
      </c>
      <c r="H592" s="53">
        <v>1063.1026999999999</v>
      </c>
      <c r="I592" s="53">
        <v>2126.2053999999998</v>
      </c>
      <c r="J592" s="53">
        <v>564.12350000000004</v>
      </c>
      <c r="K592" s="53">
        <v>1692.3705</v>
      </c>
      <c r="L592" s="53">
        <v>564.12350000000004</v>
      </c>
      <c r="M592" s="53">
        <v>564.12350000000004</v>
      </c>
      <c r="N592" s="3" t="s">
        <v>69</v>
      </c>
    </row>
    <row r="593" spans="1:14" x14ac:dyDescent="0.25">
      <c r="A593" s="51">
        <v>1.3819999999999999</v>
      </c>
      <c r="B593" s="53">
        <v>11895.721</v>
      </c>
      <c r="C593" s="53">
        <v>1063.8724999999999</v>
      </c>
      <c r="D593" s="53">
        <v>531.93619999999999</v>
      </c>
      <c r="E593" s="53">
        <v>531.93619999999999</v>
      </c>
      <c r="F593" s="53">
        <v>2127.7449999999999</v>
      </c>
      <c r="G593" s="53">
        <v>1063.8724999999999</v>
      </c>
      <c r="H593" s="53">
        <v>1063.8724999999999</v>
      </c>
      <c r="I593" s="53">
        <v>2127.7449999999999</v>
      </c>
      <c r="J593" s="53">
        <v>564.12350000000004</v>
      </c>
      <c r="K593" s="53">
        <v>1692.3705</v>
      </c>
      <c r="L593" s="53">
        <v>564.12350000000004</v>
      </c>
      <c r="M593" s="53">
        <v>564.12350000000004</v>
      </c>
      <c r="N593" s="3" t="s">
        <v>69</v>
      </c>
    </row>
    <row r="594" spans="1:14" x14ac:dyDescent="0.25">
      <c r="A594" s="51">
        <v>1.383</v>
      </c>
      <c r="B594" s="53">
        <v>11901.8794</v>
      </c>
      <c r="C594" s="53">
        <v>1064.6423</v>
      </c>
      <c r="D594" s="53">
        <v>532.32119999999998</v>
      </c>
      <c r="E594" s="53">
        <v>532.32119999999998</v>
      </c>
      <c r="F594" s="53">
        <v>2129.2846</v>
      </c>
      <c r="G594" s="53">
        <v>1064.6423</v>
      </c>
      <c r="H594" s="53">
        <v>1064.6423</v>
      </c>
      <c r="I594" s="53">
        <v>2129.2846</v>
      </c>
      <c r="J594" s="53">
        <v>564.12350000000004</v>
      </c>
      <c r="K594" s="53">
        <v>1692.3705</v>
      </c>
      <c r="L594" s="53">
        <v>564.12350000000004</v>
      </c>
      <c r="M594" s="53">
        <v>564.12350000000004</v>
      </c>
      <c r="N594" s="3" t="s">
        <v>69</v>
      </c>
    </row>
    <row r="595" spans="1:14" x14ac:dyDescent="0.25">
      <c r="A595" s="51">
        <v>1.3839999999999999</v>
      </c>
      <c r="B595" s="53">
        <v>11908.037899999999</v>
      </c>
      <c r="C595" s="53">
        <v>1065.4121</v>
      </c>
      <c r="D595" s="53">
        <v>532.70609999999999</v>
      </c>
      <c r="E595" s="53">
        <v>532.70609999999999</v>
      </c>
      <c r="F595" s="53">
        <v>2130.8242</v>
      </c>
      <c r="G595" s="53">
        <v>1065.4121</v>
      </c>
      <c r="H595" s="53">
        <v>1065.4121</v>
      </c>
      <c r="I595" s="53">
        <v>2130.8242</v>
      </c>
      <c r="J595" s="53">
        <v>564.12350000000004</v>
      </c>
      <c r="K595" s="53">
        <v>1692.3705</v>
      </c>
      <c r="L595" s="53">
        <v>564.12350000000004</v>
      </c>
      <c r="M595" s="53">
        <v>564.12350000000004</v>
      </c>
      <c r="N595" s="3" t="s">
        <v>69</v>
      </c>
    </row>
    <row r="596" spans="1:14" x14ac:dyDescent="0.25">
      <c r="A596" s="51">
        <v>1.385</v>
      </c>
      <c r="B596" s="53">
        <v>11914.1963</v>
      </c>
      <c r="C596" s="53">
        <v>1066.1819</v>
      </c>
      <c r="D596" s="53">
        <v>533.09100000000001</v>
      </c>
      <c r="E596" s="53">
        <v>533.09100000000001</v>
      </c>
      <c r="F596" s="53">
        <v>2132.3638000000001</v>
      </c>
      <c r="G596" s="53">
        <v>1066.1819</v>
      </c>
      <c r="H596" s="53">
        <v>1066.1819</v>
      </c>
      <c r="I596" s="53">
        <v>2132.3638000000001</v>
      </c>
      <c r="J596" s="53">
        <v>564.12350000000004</v>
      </c>
      <c r="K596" s="53">
        <v>1692.3705</v>
      </c>
      <c r="L596" s="53">
        <v>564.12350000000004</v>
      </c>
      <c r="M596" s="53">
        <v>564.12350000000004</v>
      </c>
      <c r="N596" s="3" t="s">
        <v>69</v>
      </c>
    </row>
    <row r="597" spans="1:14" x14ac:dyDescent="0.25">
      <c r="A597" s="51">
        <v>1.3859999999999999</v>
      </c>
      <c r="B597" s="53">
        <v>11920.354799999999</v>
      </c>
      <c r="C597" s="53">
        <v>1066.9517000000001</v>
      </c>
      <c r="D597" s="53">
        <v>533.47590000000002</v>
      </c>
      <c r="E597" s="53">
        <v>533.47590000000002</v>
      </c>
      <c r="F597" s="53">
        <v>2133.9034000000001</v>
      </c>
      <c r="G597" s="53">
        <v>1066.9517000000001</v>
      </c>
      <c r="H597" s="53">
        <v>1066.9517000000001</v>
      </c>
      <c r="I597" s="53">
        <v>2133.9034000000001</v>
      </c>
      <c r="J597" s="53">
        <v>564.12350000000004</v>
      </c>
      <c r="K597" s="53">
        <v>1692.3705</v>
      </c>
      <c r="L597" s="53">
        <v>564.12350000000004</v>
      </c>
      <c r="M597" s="53">
        <v>564.12350000000004</v>
      </c>
      <c r="N597" s="3" t="s">
        <v>69</v>
      </c>
    </row>
    <row r="598" spans="1:14" x14ac:dyDescent="0.25">
      <c r="A598" s="51">
        <v>1.387</v>
      </c>
      <c r="B598" s="53">
        <v>11926.513199999999</v>
      </c>
      <c r="C598" s="53">
        <v>1067.7215000000001</v>
      </c>
      <c r="D598" s="53">
        <v>533.86080000000004</v>
      </c>
      <c r="E598" s="53">
        <v>533.86080000000004</v>
      </c>
      <c r="F598" s="53">
        <v>2135.4431</v>
      </c>
      <c r="G598" s="53">
        <v>1067.7215000000001</v>
      </c>
      <c r="H598" s="53">
        <v>1067.7215000000001</v>
      </c>
      <c r="I598" s="53">
        <v>2135.4431</v>
      </c>
      <c r="J598" s="53">
        <v>564.12350000000004</v>
      </c>
      <c r="K598" s="53">
        <v>1692.3705</v>
      </c>
      <c r="L598" s="53">
        <v>564.12350000000004</v>
      </c>
      <c r="M598" s="53">
        <v>564.12350000000004</v>
      </c>
      <c r="N598" s="3" t="s">
        <v>69</v>
      </c>
    </row>
    <row r="599" spans="1:14" x14ac:dyDescent="0.25">
      <c r="A599" s="51">
        <v>1.3879999999999999</v>
      </c>
      <c r="B599" s="53">
        <v>11932.671700000001</v>
      </c>
      <c r="C599" s="53">
        <v>1068.4912999999999</v>
      </c>
      <c r="D599" s="53">
        <v>534.24570000000006</v>
      </c>
      <c r="E599" s="53">
        <v>534.24570000000006</v>
      </c>
      <c r="F599" s="53">
        <v>2136.9827</v>
      </c>
      <c r="G599" s="53">
        <v>1068.4912999999999</v>
      </c>
      <c r="H599" s="53">
        <v>1068.4912999999999</v>
      </c>
      <c r="I599" s="53">
        <v>2136.9827</v>
      </c>
      <c r="J599" s="53">
        <v>564.12350000000004</v>
      </c>
      <c r="K599" s="53">
        <v>1692.3705</v>
      </c>
      <c r="L599" s="53">
        <v>564.12350000000004</v>
      </c>
      <c r="M599" s="53">
        <v>564.12350000000004</v>
      </c>
      <c r="N599" s="3" t="s">
        <v>69</v>
      </c>
    </row>
    <row r="600" spans="1:14" x14ac:dyDescent="0.25">
      <c r="A600" s="51">
        <v>1.389</v>
      </c>
      <c r="B600" s="53">
        <v>11938.830099999999</v>
      </c>
      <c r="C600" s="53">
        <v>1069.2610999999999</v>
      </c>
      <c r="D600" s="53">
        <v>534.63059999999996</v>
      </c>
      <c r="E600" s="53">
        <v>534.63059999999996</v>
      </c>
      <c r="F600" s="53">
        <v>2138.5223000000001</v>
      </c>
      <c r="G600" s="53">
        <v>1069.2610999999999</v>
      </c>
      <c r="H600" s="53">
        <v>1069.2610999999999</v>
      </c>
      <c r="I600" s="53">
        <v>2138.5223000000001</v>
      </c>
      <c r="J600" s="53">
        <v>564.12350000000004</v>
      </c>
      <c r="K600" s="53">
        <v>1692.3705</v>
      </c>
      <c r="L600" s="53">
        <v>564.12350000000004</v>
      </c>
      <c r="M600" s="53">
        <v>564.12350000000004</v>
      </c>
      <c r="N600" s="3" t="s">
        <v>69</v>
      </c>
    </row>
    <row r="601" spans="1:14" x14ac:dyDescent="0.25">
      <c r="A601" s="51">
        <v>1.39</v>
      </c>
      <c r="B601" s="53">
        <v>11944.988600000001</v>
      </c>
      <c r="C601" s="53">
        <v>1070.0309999999999</v>
      </c>
      <c r="D601" s="53">
        <v>535.01549999999997</v>
      </c>
      <c r="E601" s="53">
        <v>535.01549999999997</v>
      </c>
      <c r="F601" s="53">
        <v>2140.0619000000002</v>
      </c>
      <c r="G601" s="53">
        <v>1070.0309999999999</v>
      </c>
      <c r="H601" s="53">
        <v>1070.0309999999999</v>
      </c>
      <c r="I601" s="53">
        <v>2140.0619000000002</v>
      </c>
      <c r="J601" s="53">
        <v>564.12350000000004</v>
      </c>
      <c r="K601" s="53">
        <v>1692.3705</v>
      </c>
      <c r="L601" s="53">
        <v>564.12350000000004</v>
      </c>
      <c r="M601" s="53">
        <v>564.12350000000004</v>
      </c>
      <c r="N601" s="3" t="s">
        <v>69</v>
      </c>
    </row>
    <row r="602" spans="1:14" x14ac:dyDescent="0.25">
      <c r="A602" s="51">
        <v>1.391</v>
      </c>
      <c r="B602" s="53">
        <v>11951.1471</v>
      </c>
      <c r="C602" s="53">
        <v>1070.8008</v>
      </c>
      <c r="D602" s="53">
        <v>535.40039999999999</v>
      </c>
      <c r="E602" s="53">
        <v>535.40039999999999</v>
      </c>
      <c r="F602" s="53">
        <v>2141.6015000000002</v>
      </c>
      <c r="G602" s="53">
        <v>1070.8008</v>
      </c>
      <c r="H602" s="53">
        <v>1070.8008</v>
      </c>
      <c r="I602" s="53">
        <v>2141.6015000000002</v>
      </c>
      <c r="J602" s="53">
        <v>564.12350000000004</v>
      </c>
      <c r="K602" s="53">
        <v>1692.3705</v>
      </c>
      <c r="L602" s="53">
        <v>564.12350000000004</v>
      </c>
      <c r="M602" s="53">
        <v>564.12350000000004</v>
      </c>
      <c r="N602" s="3" t="s">
        <v>69</v>
      </c>
    </row>
    <row r="603" spans="1:14" x14ac:dyDescent="0.25">
      <c r="A603" s="51">
        <v>1.3919999999999999</v>
      </c>
      <c r="B603" s="53">
        <v>11957.3055</v>
      </c>
      <c r="C603" s="53">
        <v>1071.5706</v>
      </c>
      <c r="D603" s="53">
        <v>535.78530000000001</v>
      </c>
      <c r="E603" s="53">
        <v>535.78530000000001</v>
      </c>
      <c r="F603" s="53">
        <v>2143.1410999999998</v>
      </c>
      <c r="G603" s="53">
        <v>1071.5706</v>
      </c>
      <c r="H603" s="53">
        <v>1071.5706</v>
      </c>
      <c r="I603" s="53">
        <v>2143.1410999999998</v>
      </c>
      <c r="J603" s="53">
        <v>564.12350000000004</v>
      </c>
      <c r="K603" s="53">
        <v>1692.3705</v>
      </c>
      <c r="L603" s="53">
        <v>564.12350000000004</v>
      </c>
      <c r="M603" s="53">
        <v>564.12350000000004</v>
      </c>
      <c r="N603" s="3" t="s">
        <v>69</v>
      </c>
    </row>
    <row r="604" spans="1:14" x14ac:dyDescent="0.25">
      <c r="A604" s="51">
        <v>1.393</v>
      </c>
      <c r="B604" s="53">
        <v>11963.464</v>
      </c>
      <c r="C604" s="53">
        <v>1072.3404</v>
      </c>
      <c r="D604" s="53">
        <v>536.17020000000002</v>
      </c>
      <c r="E604" s="53">
        <v>536.17020000000002</v>
      </c>
      <c r="F604" s="53">
        <v>2144.6806999999999</v>
      </c>
      <c r="G604" s="53">
        <v>1072.3404</v>
      </c>
      <c r="H604" s="53">
        <v>1072.3404</v>
      </c>
      <c r="I604" s="53">
        <v>2144.6806999999999</v>
      </c>
      <c r="J604" s="53">
        <v>564.12350000000004</v>
      </c>
      <c r="K604" s="53">
        <v>1692.3705</v>
      </c>
      <c r="L604" s="53">
        <v>564.12350000000004</v>
      </c>
      <c r="M604" s="53">
        <v>564.12350000000004</v>
      </c>
      <c r="N604" s="3" t="s">
        <v>69</v>
      </c>
    </row>
    <row r="605" spans="1:14" x14ac:dyDescent="0.25">
      <c r="A605" s="51">
        <v>1.3939999999999999</v>
      </c>
      <c r="B605" s="53">
        <v>11969.6224</v>
      </c>
      <c r="C605" s="53">
        <v>1073.1102000000001</v>
      </c>
      <c r="D605" s="53">
        <v>536.55510000000004</v>
      </c>
      <c r="E605" s="53">
        <v>536.55510000000004</v>
      </c>
      <c r="F605" s="53">
        <v>2146.2204000000002</v>
      </c>
      <c r="G605" s="53">
        <v>1073.1102000000001</v>
      </c>
      <c r="H605" s="53">
        <v>1073.1102000000001</v>
      </c>
      <c r="I605" s="53">
        <v>2146.2204000000002</v>
      </c>
      <c r="J605" s="53">
        <v>564.12350000000004</v>
      </c>
      <c r="K605" s="53">
        <v>1692.3705</v>
      </c>
      <c r="L605" s="53">
        <v>564.12350000000004</v>
      </c>
      <c r="M605" s="53">
        <v>564.12350000000004</v>
      </c>
      <c r="N605" s="3" t="s">
        <v>69</v>
      </c>
    </row>
    <row r="606" spans="1:14" x14ac:dyDescent="0.25">
      <c r="A606" s="51">
        <v>1.395</v>
      </c>
      <c r="B606" s="53">
        <v>11975.7809</v>
      </c>
      <c r="C606" s="53">
        <v>1073.8800000000001</v>
      </c>
      <c r="D606" s="53">
        <v>536.94000000000005</v>
      </c>
      <c r="E606" s="53">
        <v>536.94000000000005</v>
      </c>
      <c r="F606" s="53">
        <v>2147.7600000000002</v>
      </c>
      <c r="G606" s="53">
        <v>1073.8800000000001</v>
      </c>
      <c r="H606" s="53">
        <v>1073.8800000000001</v>
      </c>
      <c r="I606" s="53">
        <v>2147.7600000000002</v>
      </c>
      <c r="J606" s="53">
        <v>564.12350000000004</v>
      </c>
      <c r="K606" s="53">
        <v>1692.3705</v>
      </c>
      <c r="L606" s="53">
        <v>564.12350000000004</v>
      </c>
      <c r="M606" s="53">
        <v>564.12350000000004</v>
      </c>
      <c r="N606" s="3" t="s">
        <v>69</v>
      </c>
    </row>
    <row r="607" spans="1:14" x14ac:dyDescent="0.25">
      <c r="A607" s="51">
        <v>1.3959999999999999</v>
      </c>
      <c r="B607" s="53">
        <v>11981.9393</v>
      </c>
      <c r="C607" s="53">
        <v>1074.6497999999999</v>
      </c>
      <c r="D607" s="53">
        <v>537.32489999999996</v>
      </c>
      <c r="E607" s="53">
        <v>537.32489999999996</v>
      </c>
      <c r="F607" s="53">
        <v>2149.2995999999998</v>
      </c>
      <c r="G607" s="53">
        <v>1074.6497999999999</v>
      </c>
      <c r="H607" s="53">
        <v>1074.6497999999999</v>
      </c>
      <c r="I607" s="53">
        <v>2149.2995999999998</v>
      </c>
      <c r="J607" s="53">
        <v>564.12350000000004</v>
      </c>
      <c r="K607" s="53">
        <v>1692.3705</v>
      </c>
      <c r="L607" s="53">
        <v>564.12350000000004</v>
      </c>
      <c r="M607" s="53">
        <v>564.12350000000004</v>
      </c>
      <c r="N607" s="3" t="s">
        <v>69</v>
      </c>
    </row>
    <row r="608" spans="1:14" x14ac:dyDescent="0.25">
      <c r="A608" s="51">
        <v>1.397</v>
      </c>
      <c r="B608" s="53">
        <v>11988.0978</v>
      </c>
      <c r="C608" s="53">
        <v>1075.4195999999999</v>
      </c>
      <c r="D608" s="53">
        <v>537.70979999999997</v>
      </c>
      <c r="E608" s="53">
        <v>537.70979999999997</v>
      </c>
      <c r="F608" s="53">
        <v>2150.8391999999999</v>
      </c>
      <c r="G608" s="53">
        <v>1075.4195999999999</v>
      </c>
      <c r="H608" s="53">
        <v>1075.4195999999999</v>
      </c>
      <c r="I608" s="53">
        <v>2150.8391999999999</v>
      </c>
      <c r="J608" s="53">
        <v>564.12350000000004</v>
      </c>
      <c r="K608" s="53">
        <v>1692.3705</v>
      </c>
      <c r="L608" s="53">
        <v>564.12350000000004</v>
      </c>
      <c r="M608" s="53">
        <v>564.12350000000004</v>
      </c>
      <c r="N608" s="3" t="s">
        <v>69</v>
      </c>
    </row>
    <row r="609" spans="1:14" x14ac:dyDescent="0.25">
      <c r="A609" s="51">
        <v>1.3979999999999999</v>
      </c>
      <c r="B609" s="53">
        <v>11994.2562</v>
      </c>
      <c r="C609" s="53">
        <v>1076.1894</v>
      </c>
      <c r="D609" s="53">
        <v>538.09469999999999</v>
      </c>
      <c r="E609" s="53">
        <v>538.09469999999999</v>
      </c>
      <c r="F609" s="53">
        <v>2152.3788</v>
      </c>
      <c r="G609" s="53">
        <v>1076.1894</v>
      </c>
      <c r="H609" s="53">
        <v>1076.1894</v>
      </c>
      <c r="I609" s="53">
        <v>2152.3788</v>
      </c>
      <c r="J609" s="53">
        <v>564.12350000000004</v>
      </c>
      <c r="K609" s="53">
        <v>1692.3705</v>
      </c>
      <c r="L609" s="53">
        <v>564.12350000000004</v>
      </c>
      <c r="M609" s="53">
        <v>564.12350000000004</v>
      </c>
      <c r="N609" s="3" t="s">
        <v>69</v>
      </c>
    </row>
    <row r="610" spans="1:14" x14ac:dyDescent="0.25">
      <c r="A610" s="51">
        <v>1.399</v>
      </c>
      <c r="B610" s="53">
        <v>12000.414699999999</v>
      </c>
      <c r="C610" s="53">
        <v>1076.9592</v>
      </c>
      <c r="D610" s="53">
        <v>538.4796</v>
      </c>
      <c r="E610" s="53">
        <v>538.4796</v>
      </c>
      <c r="F610" s="53">
        <v>2153.9184</v>
      </c>
      <c r="G610" s="53">
        <v>1076.9592</v>
      </c>
      <c r="H610" s="53">
        <v>1076.9592</v>
      </c>
      <c r="I610" s="53">
        <v>2153.9184</v>
      </c>
      <c r="J610" s="53">
        <v>564.12350000000004</v>
      </c>
      <c r="K610" s="53">
        <v>1692.3705</v>
      </c>
      <c r="L610" s="53">
        <v>564.12350000000004</v>
      </c>
      <c r="M610" s="53">
        <v>564.12350000000004</v>
      </c>
      <c r="N610" s="3" t="s">
        <v>69</v>
      </c>
    </row>
    <row r="611" spans="1:14" x14ac:dyDescent="0.25">
      <c r="A611" s="51">
        <v>1.4</v>
      </c>
      <c r="B611" s="53">
        <v>12061.1417</v>
      </c>
      <c r="C611" s="53">
        <v>1084.5500999999999</v>
      </c>
      <c r="D611" s="53">
        <v>542.27499999999998</v>
      </c>
      <c r="E611" s="53">
        <v>542.27499999999998</v>
      </c>
      <c r="F611" s="53">
        <v>2169.1001999999999</v>
      </c>
      <c r="G611" s="53">
        <v>1084.5500999999999</v>
      </c>
      <c r="H611" s="53">
        <v>1084.5500999999999</v>
      </c>
      <c r="I611" s="53">
        <v>2169.1001999999999</v>
      </c>
      <c r="J611" s="53">
        <v>564.12350000000004</v>
      </c>
      <c r="K611" s="53">
        <v>1692.3705</v>
      </c>
      <c r="L611" s="53">
        <v>564.12350000000004</v>
      </c>
      <c r="M611" s="53">
        <v>564.12350000000004</v>
      </c>
      <c r="N611" s="3" t="s">
        <v>69</v>
      </c>
    </row>
    <row r="612" spans="1:14" x14ac:dyDescent="0.25">
      <c r="A612" s="51">
        <v>1.401</v>
      </c>
      <c r="B612" s="53">
        <v>12067.339099999999</v>
      </c>
      <c r="C612" s="53">
        <v>1085.3248000000001</v>
      </c>
      <c r="D612" s="53">
        <v>542.66240000000005</v>
      </c>
      <c r="E612" s="53">
        <v>542.66240000000005</v>
      </c>
      <c r="F612" s="53">
        <v>2170.6495</v>
      </c>
      <c r="G612" s="53">
        <v>1085.3248000000001</v>
      </c>
      <c r="H612" s="53">
        <v>1085.3248000000001</v>
      </c>
      <c r="I612" s="53">
        <v>2170.6495</v>
      </c>
      <c r="J612" s="53">
        <v>564.12350000000004</v>
      </c>
      <c r="K612" s="53">
        <v>1692.3705</v>
      </c>
      <c r="L612" s="53">
        <v>564.12350000000004</v>
      </c>
      <c r="M612" s="53">
        <v>564.12350000000004</v>
      </c>
      <c r="N612" s="3" t="s">
        <v>69</v>
      </c>
    </row>
    <row r="613" spans="1:14" x14ac:dyDescent="0.25">
      <c r="A613" s="51">
        <v>1.4019999999999999</v>
      </c>
      <c r="B613" s="53">
        <v>12073.5365</v>
      </c>
      <c r="C613" s="53">
        <v>1086.0994000000001</v>
      </c>
      <c r="D613" s="53">
        <v>543.04970000000003</v>
      </c>
      <c r="E613" s="53">
        <v>543.04970000000003</v>
      </c>
      <c r="F613" s="53">
        <v>2172.1988999999999</v>
      </c>
      <c r="G613" s="53">
        <v>1086.0994000000001</v>
      </c>
      <c r="H613" s="53">
        <v>1086.0994000000001</v>
      </c>
      <c r="I613" s="53">
        <v>2172.1988999999999</v>
      </c>
      <c r="J613" s="53">
        <v>564.12350000000004</v>
      </c>
      <c r="K613" s="53">
        <v>1692.3705</v>
      </c>
      <c r="L613" s="53">
        <v>564.12350000000004</v>
      </c>
      <c r="M613" s="53">
        <v>564.12350000000004</v>
      </c>
      <c r="N613" s="3" t="s">
        <v>69</v>
      </c>
    </row>
    <row r="614" spans="1:14" x14ac:dyDescent="0.25">
      <c r="A614" s="51">
        <v>1.403</v>
      </c>
      <c r="B614" s="53">
        <v>12079.734</v>
      </c>
      <c r="C614" s="53">
        <v>1086.8741</v>
      </c>
      <c r="D614" s="53">
        <v>543.43709999999999</v>
      </c>
      <c r="E614" s="53">
        <v>543.43709999999999</v>
      </c>
      <c r="F614" s="53">
        <v>2173.7482</v>
      </c>
      <c r="G614" s="53">
        <v>1086.8741</v>
      </c>
      <c r="H614" s="53">
        <v>1086.8741</v>
      </c>
      <c r="I614" s="53">
        <v>2173.7482</v>
      </c>
      <c r="J614" s="53">
        <v>564.12350000000004</v>
      </c>
      <c r="K614" s="53">
        <v>1692.3705</v>
      </c>
      <c r="L614" s="53">
        <v>564.12350000000004</v>
      </c>
      <c r="M614" s="53">
        <v>564.12350000000004</v>
      </c>
      <c r="N614" s="3" t="s">
        <v>69</v>
      </c>
    </row>
    <row r="615" spans="1:14" x14ac:dyDescent="0.25">
      <c r="A615" s="51">
        <v>1.4039999999999999</v>
      </c>
      <c r="B615" s="53">
        <v>12085.931399999999</v>
      </c>
      <c r="C615" s="53">
        <v>1087.6487999999999</v>
      </c>
      <c r="D615" s="53">
        <v>543.82439999999997</v>
      </c>
      <c r="E615" s="53">
        <v>543.82439999999997</v>
      </c>
      <c r="F615" s="53">
        <v>2175.2975999999999</v>
      </c>
      <c r="G615" s="53">
        <v>1087.6487999999999</v>
      </c>
      <c r="H615" s="53">
        <v>1087.6487999999999</v>
      </c>
      <c r="I615" s="53">
        <v>2175.2975999999999</v>
      </c>
      <c r="J615" s="53">
        <v>564.12350000000004</v>
      </c>
      <c r="K615" s="53">
        <v>1692.3705</v>
      </c>
      <c r="L615" s="53">
        <v>564.12350000000004</v>
      </c>
      <c r="M615" s="53">
        <v>564.12350000000004</v>
      </c>
      <c r="N615" s="3" t="s">
        <v>69</v>
      </c>
    </row>
    <row r="616" spans="1:14" x14ac:dyDescent="0.25">
      <c r="A616" s="51">
        <v>1.405</v>
      </c>
      <c r="B616" s="53">
        <v>12092.1288</v>
      </c>
      <c r="C616" s="53">
        <v>1088.4235000000001</v>
      </c>
      <c r="D616" s="53">
        <v>544.21169999999995</v>
      </c>
      <c r="E616" s="53">
        <v>544.21169999999995</v>
      </c>
      <c r="F616" s="53">
        <v>2176.8470000000002</v>
      </c>
      <c r="G616" s="53">
        <v>1088.4235000000001</v>
      </c>
      <c r="H616" s="53">
        <v>1088.4235000000001</v>
      </c>
      <c r="I616" s="53">
        <v>2176.8470000000002</v>
      </c>
      <c r="J616" s="53">
        <v>564.12350000000004</v>
      </c>
      <c r="K616" s="53">
        <v>1692.3705</v>
      </c>
      <c r="L616" s="53">
        <v>564.12350000000004</v>
      </c>
      <c r="M616" s="53">
        <v>564.12350000000004</v>
      </c>
      <c r="N616" s="3" t="s">
        <v>69</v>
      </c>
    </row>
    <row r="617" spans="1:14" x14ac:dyDescent="0.25">
      <c r="A617" s="51">
        <v>1.4059999999999999</v>
      </c>
      <c r="B617" s="53">
        <v>12098.3262</v>
      </c>
      <c r="C617" s="53">
        <v>1089.1982</v>
      </c>
      <c r="D617" s="53">
        <v>544.59910000000002</v>
      </c>
      <c r="E617" s="53">
        <v>544.59910000000002</v>
      </c>
      <c r="F617" s="53">
        <v>2178.3962999999999</v>
      </c>
      <c r="G617" s="53">
        <v>1089.1982</v>
      </c>
      <c r="H617" s="53">
        <v>1089.1982</v>
      </c>
      <c r="I617" s="53">
        <v>2178.3962999999999</v>
      </c>
      <c r="J617" s="53">
        <v>564.12350000000004</v>
      </c>
      <c r="K617" s="53">
        <v>1692.3705</v>
      </c>
      <c r="L617" s="53">
        <v>564.12350000000004</v>
      </c>
      <c r="M617" s="53">
        <v>564.12350000000004</v>
      </c>
      <c r="N617" s="3" t="s">
        <v>69</v>
      </c>
    </row>
    <row r="618" spans="1:14" x14ac:dyDescent="0.25">
      <c r="A618" s="51">
        <v>1.407</v>
      </c>
      <c r="B618" s="53">
        <v>12104.5237</v>
      </c>
      <c r="C618" s="53">
        <v>1089.9728</v>
      </c>
      <c r="D618" s="53">
        <v>544.9864</v>
      </c>
      <c r="E618" s="53">
        <v>544.9864</v>
      </c>
      <c r="F618" s="53">
        <v>2179.9457000000002</v>
      </c>
      <c r="G618" s="53">
        <v>1089.9728</v>
      </c>
      <c r="H618" s="53">
        <v>1089.9728</v>
      </c>
      <c r="I618" s="53">
        <v>2179.9457000000002</v>
      </c>
      <c r="J618" s="53">
        <v>564.12350000000004</v>
      </c>
      <c r="K618" s="53">
        <v>1692.3705</v>
      </c>
      <c r="L618" s="53">
        <v>564.12350000000004</v>
      </c>
      <c r="M618" s="53">
        <v>564.12350000000004</v>
      </c>
      <c r="N618" s="3" t="s">
        <v>69</v>
      </c>
    </row>
    <row r="619" spans="1:14" x14ac:dyDescent="0.25">
      <c r="A619" s="51">
        <v>1.4079999999999999</v>
      </c>
      <c r="B619" s="53">
        <v>12110.721100000001</v>
      </c>
      <c r="C619" s="53">
        <v>1090.7474999999999</v>
      </c>
      <c r="D619" s="53">
        <v>545.37379999999996</v>
      </c>
      <c r="E619" s="53">
        <v>545.37379999999996</v>
      </c>
      <c r="F619" s="53">
        <v>2181.4949999999999</v>
      </c>
      <c r="G619" s="53">
        <v>1090.7474999999999</v>
      </c>
      <c r="H619" s="53">
        <v>1090.7474999999999</v>
      </c>
      <c r="I619" s="53">
        <v>2181.4949999999999</v>
      </c>
      <c r="J619" s="53">
        <v>564.12350000000004</v>
      </c>
      <c r="K619" s="53">
        <v>1692.3705</v>
      </c>
      <c r="L619" s="53">
        <v>564.12350000000004</v>
      </c>
      <c r="M619" s="53">
        <v>564.12350000000004</v>
      </c>
      <c r="N619" s="3" t="s">
        <v>69</v>
      </c>
    </row>
    <row r="620" spans="1:14" x14ac:dyDescent="0.25">
      <c r="A620" s="51">
        <v>1.409</v>
      </c>
      <c r="B620" s="53">
        <v>12116.9185</v>
      </c>
      <c r="C620" s="53">
        <v>1091.5222000000001</v>
      </c>
      <c r="D620" s="53">
        <v>545.76110000000006</v>
      </c>
      <c r="E620" s="53">
        <v>545.76110000000006</v>
      </c>
      <c r="F620" s="53">
        <v>2183.0444000000002</v>
      </c>
      <c r="G620" s="53">
        <v>1091.5222000000001</v>
      </c>
      <c r="H620" s="53">
        <v>1091.5222000000001</v>
      </c>
      <c r="I620" s="53">
        <v>2183.0444000000002</v>
      </c>
      <c r="J620" s="53">
        <v>564.12350000000004</v>
      </c>
      <c r="K620" s="53">
        <v>1692.3705</v>
      </c>
      <c r="L620" s="53">
        <v>564.12350000000004</v>
      </c>
      <c r="M620" s="53">
        <v>564.12350000000004</v>
      </c>
      <c r="N620" s="3" t="s">
        <v>69</v>
      </c>
    </row>
    <row r="621" spans="1:14" x14ac:dyDescent="0.25">
      <c r="A621" s="51">
        <v>1.41</v>
      </c>
      <c r="B621" s="53">
        <v>12123.116</v>
      </c>
      <c r="C621" s="53">
        <v>1092.2969000000001</v>
      </c>
      <c r="D621" s="53">
        <v>546.14840000000004</v>
      </c>
      <c r="E621" s="53">
        <v>546.14840000000004</v>
      </c>
      <c r="F621" s="53">
        <v>2184.5936999999999</v>
      </c>
      <c r="G621" s="53">
        <v>1092.2969000000001</v>
      </c>
      <c r="H621" s="53">
        <v>1092.2969000000001</v>
      </c>
      <c r="I621" s="53">
        <v>2184.5936999999999</v>
      </c>
      <c r="J621" s="53">
        <v>564.12350000000004</v>
      </c>
      <c r="K621" s="53">
        <v>1692.3705</v>
      </c>
      <c r="L621" s="53">
        <v>564.12350000000004</v>
      </c>
      <c r="M621" s="53">
        <v>564.12350000000004</v>
      </c>
      <c r="N621" s="3" t="s">
        <v>69</v>
      </c>
    </row>
    <row r="622" spans="1:14" x14ac:dyDescent="0.25">
      <c r="A622" s="51">
        <v>1.411</v>
      </c>
      <c r="B622" s="53">
        <v>12129.313399999999</v>
      </c>
      <c r="C622" s="53">
        <v>1093.0715</v>
      </c>
      <c r="D622" s="53">
        <v>546.53579999999999</v>
      </c>
      <c r="E622" s="53">
        <v>546.53579999999999</v>
      </c>
      <c r="F622" s="53">
        <v>2186.1430999999998</v>
      </c>
      <c r="G622" s="53">
        <v>1093.0715</v>
      </c>
      <c r="H622" s="53">
        <v>1093.0715</v>
      </c>
      <c r="I622" s="53">
        <v>2186.1430999999998</v>
      </c>
      <c r="J622" s="53">
        <v>564.12350000000004</v>
      </c>
      <c r="K622" s="53">
        <v>1692.3705</v>
      </c>
      <c r="L622" s="53">
        <v>564.12350000000004</v>
      </c>
      <c r="M622" s="53">
        <v>564.12350000000004</v>
      </c>
      <c r="N622" s="3" t="s">
        <v>69</v>
      </c>
    </row>
    <row r="623" spans="1:14" x14ac:dyDescent="0.25">
      <c r="A623" s="51">
        <v>1.4119999999999999</v>
      </c>
      <c r="B623" s="53">
        <v>12135.5108</v>
      </c>
      <c r="C623" s="53">
        <v>1093.8462</v>
      </c>
      <c r="D623" s="53">
        <v>546.92309999999998</v>
      </c>
      <c r="E623" s="53">
        <v>546.92309999999998</v>
      </c>
      <c r="F623" s="53">
        <v>2187.6925000000001</v>
      </c>
      <c r="G623" s="53">
        <v>1093.8462</v>
      </c>
      <c r="H623" s="53">
        <v>1093.8462</v>
      </c>
      <c r="I623" s="53">
        <v>2187.6925000000001</v>
      </c>
      <c r="J623" s="53">
        <v>564.12350000000004</v>
      </c>
      <c r="K623" s="53">
        <v>1692.3705</v>
      </c>
      <c r="L623" s="53">
        <v>564.12350000000004</v>
      </c>
      <c r="M623" s="53">
        <v>564.12350000000004</v>
      </c>
      <c r="N623" s="3" t="s">
        <v>69</v>
      </c>
    </row>
    <row r="624" spans="1:14" x14ac:dyDescent="0.25">
      <c r="A624" s="51">
        <v>1.413</v>
      </c>
      <c r="B624" s="53">
        <v>12141.7083</v>
      </c>
      <c r="C624" s="53">
        <v>1094.6208999999999</v>
      </c>
      <c r="D624" s="53">
        <v>547.31050000000005</v>
      </c>
      <c r="E624" s="53">
        <v>547.31050000000005</v>
      </c>
      <c r="F624" s="53">
        <v>2189.2417999999998</v>
      </c>
      <c r="G624" s="53">
        <v>1094.6208999999999</v>
      </c>
      <c r="H624" s="53">
        <v>1094.6208999999999</v>
      </c>
      <c r="I624" s="53">
        <v>2189.2417999999998</v>
      </c>
      <c r="J624" s="53">
        <v>564.12350000000004</v>
      </c>
      <c r="K624" s="53">
        <v>1692.3705</v>
      </c>
      <c r="L624" s="53">
        <v>564.12350000000004</v>
      </c>
      <c r="M624" s="53">
        <v>564.12350000000004</v>
      </c>
      <c r="N624" s="3" t="s">
        <v>69</v>
      </c>
    </row>
    <row r="625" spans="1:14" x14ac:dyDescent="0.25">
      <c r="A625" s="51">
        <v>1.4139999999999999</v>
      </c>
      <c r="B625" s="53">
        <v>12147.905699999999</v>
      </c>
      <c r="C625" s="53">
        <v>1095.3956000000001</v>
      </c>
      <c r="D625" s="53">
        <v>547.69780000000003</v>
      </c>
      <c r="E625" s="53">
        <v>547.69780000000003</v>
      </c>
      <c r="F625" s="53">
        <v>2190.7912000000001</v>
      </c>
      <c r="G625" s="53">
        <v>1095.3956000000001</v>
      </c>
      <c r="H625" s="53">
        <v>1095.3956000000001</v>
      </c>
      <c r="I625" s="53">
        <v>2190.7912000000001</v>
      </c>
      <c r="J625" s="53">
        <v>564.12350000000004</v>
      </c>
      <c r="K625" s="53">
        <v>1692.3705</v>
      </c>
      <c r="L625" s="53">
        <v>564.12350000000004</v>
      </c>
      <c r="M625" s="53">
        <v>564.12350000000004</v>
      </c>
      <c r="N625" s="3" t="s">
        <v>69</v>
      </c>
    </row>
    <row r="626" spans="1:14" x14ac:dyDescent="0.25">
      <c r="A626" s="51">
        <v>1.415</v>
      </c>
      <c r="B626" s="53">
        <v>12154.1031</v>
      </c>
      <c r="C626" s="53">
        <v>1096.1703</v>
      </c>
      <c r="D626" s="53">
        <v>548.08510000000001</v>
      </c>
      <c r="E626" s="53">
        <v>548.08510000000001</v>
      </c>
      <c r="F626" s="53">
        <v>2192.3404999999998</v>
      </c>
      <c r="G626" s="53">
        <v>1096.1703</v>
      </c>
      <c r="H626" s="53">
        <v>1096.1703</v>
      </c>
      <c r="I626" s="53">
        <v>2192.3404999999998</v>
      </c>
      <c r="J626" s="53">
        <v>564.12350000000004</v>
      </c>
      <c r="K626" s="53">
        <v>1692.3705</v>
      </c>
      <c r="L626" s="53">
        <v>564.12350000000004</v>
      </c>
      <c r="M626" s="53">
        <v>564.12350000000004</v>
      </c>
      <c r="N626" s="3" t="s">
        <v>69</v>
      </c>
    </row>
    <row r="627" spans="1:14" x14ac:dyDescent="0.25">
      <c r="A627" s="51">
        <v>1.4159999999999999</v>
      </c>
      <c r="B627" s="53">
        <v>12160.300499999999</v>
      </c>
      <c r="C627" s="53">
        <v>1096.9449</v>
      </c>
      <c r="D627" s="53">
        <v>548.47249999999997</v>
      </c>
      <c r="E627" s="53">
        <v>548.47249999999997</v>
      </c>
      <c r="F627" s="53">
        <v>2193.8899000000001</v>
      </c>
      <c r="G627" s="53">
        <v>1096.9449</v>
      </c>
      <c r="H627" s="53">
        <v>1096.9449</v>
      </c>
      <c r="I627" s="53">
        <v>2193.8899000000001</v>
      </c>
      <c r="J627" s="53">
        <v>564.12350000000004</v>
      </c>
      <c r="K627" s="53">
        <v>1692.3705</v>
      </c>
      <c r="L627" s="53">
        <v>564.12350000000004</v>
      </c>
      <c r="M627" s="53">
        <v>564.12350000000004</v>
      </c>
      <c r="N627" s="3" t="s">
        <v>69</v>
      </c>
    </row>
    <row r="628" spans="1:14" x14ac:dyDescent="0.25">
      <c r="A628" s="51">
        <v>1.417</v>
      </c>
      <c r="B628" s="53">
        <v>12166.498</v>
      </c>
      <c r="C628" s="53">
        <v>1097.7195999999999</v>
      </c>
      <c r="D628" s="53">
        <v>548.85979999999995</v>
      </c>
      <c r="E628" s="53">
        <v>548.85979999999995</v>
      </c>
      <c r="F628" s="53">
        <v>2195.4391999999998</v>
      </c>
      <c r="G628" s="53">
        <v>1097.7195999999999</v>
      </c>
      <c r="H628" s="53">
        <v>1097.7195999999999</v>
      </c>
      <c r="I628" s="53">
        <v>2195.4391999999998</v>
      </c>
      <c r="J628" s="53">
        <v>564.12350000000004</v>
      </c>
      <c r="K628" s="53">
        <v>1692.3705</v>
      </c>
      <c r="L628" s="53">
        <v>564.12350000000004</v>
      </c>
      <c r="M628" s="53">
        <v>564.12350000000004</v>
      </c>
      <c r="N628" s="3" t="s">
        <v>69</v>
      </c>
    </row>
    <row r="629" spans="1:14" x14ac:dyDescent="0.25">
      <c r="A629" s="51">
        <v>1.4179999999999999</v>
      </c>
      <c r="B629" s="53">
        <v>12172.695400000001</v>
      </c>
      <c r="C629" s="53">
        <v>1098.4943000000001</v>
      </c>
      <c r="D629" s="53">
        <v>549.24710000000005</v>
      </c>
      <c r="E629" s="53">
        <v>549.24710000000005</v>
      </c>
      <c r="F629" s="53">
        <v>2196.9886000000001</v>
      </c>
      <c r="G629" s="53">
        <v>1098.4943000000001</v>
      </c>
      <c r="H629" s="53">
        <v>1098.4943000000001</v>
      </c>
      <c r="I629" s="53">
        <v>2196.9886000000001</v>
      </c>
      <c r="J629" s="53">
        <v>564.12350000000004</v>
      </c>
      <c r="K629" s="53">
        <v>1692.3705</v>
      </c>
      <c r="L629" s="53">
        <v>564.12350000000004</v>
      </c>
      <c r="M629" s="53">
        <v>564.12350000000004</v>
      </c>
      <c r="N629" s="3" t="s">
        <v>69</v>
      </c>
    </row>
    <row r="630" spans="1:14" x14ac:dyDescent="0.25">
      <c r="A630" s="51">
        <v>1.419</v>
      </c>
      <c r="B630" s="53">
        <v>12178.8928</v>
      </c>
      <c r="C630" s="53">
        <v>1099.269</v>
      </c>
      <c r="D630" s="53">
        <v>549.6345</v>
      </c>
      <c r="E630" s="53">
        <v>549.6345</v>
      </c>
      <c r="F630" s="53">
        <v>2198.538</v>
      </c>
      <c r="G630" s="53">
        <v>1099.269</v>
      </c>
      <c r="H630" s="53">
        <v>1099.269</v>
      </c>
      <c r="I630" s="53">
        <v>2198.538</v>
      </c>
      <c r="J630" s="53">
        <v>564.12350000000004</v>
      </c>
      <c r="K630" s="53">
        <v>1692.3705</v>
      </c>
      <c r="L630" s="53">
        <v>564.12350000000004</v>
      </c>
      <c r="M630" s="53">
        <v>564.12350000000004</v>
      </c>
      <c r="N630" s="3" t="s">
        <v>69</v>
      </c>
    </row>
    <row r="631" spans="1:14" x14ac:dyDescent="0.25">
      <c r="A631" s="51">
        <v>1.42</v>
      </c>
      <c r="B631" s="53">
        <v>12185.0903</v>
      </c>
      <c r="C631" s="53">
        <v>1100.0436999999999</v>
      </c>
      <c r="D631" s="53">
        <v>550.02179999999998</v>
      </c>
      <c r="E631" s="53">
        <v>550.02179999999998</v>
      </c>
      <c r="F631" s="53">
        <v>2200.0873000000001</v>
      </c>
      <c r="G631" s="53">
        <v>1100.0436999999999</v>
      </c>
      <c r="H631" s="53">
        <v>1100.0436999999999</v>
      </c>
      <c r="I631" s="53">
        <v>2200.0873000000001</v>
      </c>
      <c r="J631" s="53">
        <v>564.12350000000004</v>
      </c>
      <c r="K631" s="53">
        <v>1692.3705</v>
      </c>
      <c r="L631" s="53">
        <v>564.12350000000004</v>
      </c>
      <c r="M631" s="53">
        <v>564.12350000000004</v>
      </c>
      <c r="N631" s="3" t="s">
        <v>69</v>
      </c>
    </row>
    <row r="632" spans="1:14" x14ac:dyDescent="0.25">
      <c r="A632" s="51">
        <v>1.421</v>
      </c>
      <c r="B632" s="53">
        <v>12191.287700000001</v>
      </c>
      <c r="C632" s="53">
        <v>1100.8182999999999</v>
      </c>
      <c r="D632" s="53">
        <v>550.40920000000006</v>
      </c>
      <c r="E632" s="53">
        <v>550.40920000000006</v>
      </c>
      <c r="F632" s="53">
        <v>2201.6367</v>
      </c>
      <c r="G632" s="53">
        <v>1100.8182999999999</v>
      </c>
      <c r="H632" s="53">
        <v>1100.8182999999999</v>
      </c>
      <c r="I632" s="53">
        <v>2201.6367</v>
      </c>
      <c r="J632" s="53">
        <v>564.12350000000004</v>
      </c>
      <c r="K632" s="53">
        <v>1692.3705</v>
      </c>
      <c r="L632" s="53">
        <v>564.12350000000004</v>
      </c>
      <c r="M632" s="53">
        <v>564.12350000000004</v>
      </c>
      <c r="N632" s="3" t="s">
        <v>69</v>
      </c>
    </row>
    <row r="633" spans="1:14" x14ac:dyDescent="0.25">
      <c r="A633" s="51">
        <v>1.4219999999999999</v>
      </c>
      <c r="B633" s="53">
        <v>12197.4851</v>
      </c>
      <c r="C633" s="53">
        <v>1101.5930000000001</v>
      </c>
      <c r="D633" s="53">
        <v>550.79650000000004</v>
      </c>
      <c r="E633" s="53">
        <v>550.79650000000004</v>
      </c>
      <c r="F633" s="53">
        <v>2203.1860000000001</v>
      </c>
      <c r="G633" s="53">
        <v>1101.5930000000001</v>
      </c>
      <c r="H633" s="53">
        <v>1101.5930000000001</v>
      </c>
      <c r="I633" s="53">
        <v>2203.1860000000001</v>
      </c>
      <c r="J633" s="53">
        <v>564.12350000000004</v>
      </c>
      <c r="K633" s="53">
        <v>1692.3705</v>
      </c>
      <c r="L633" s="53">
        <v>564.12350000000004</v>
      </c>
      <c r="M633" s="53">
        <v>564.12350000000004</v>
      </c>
      <c r="N633" s="3" t="s">
        <v>69</v>
      </c>
    </row>
    <row r="634" spans="1:14" x14ac:dyDescent="0.25">
      <c r="A634" s="51">
        <v>1.423</v>
      </c>
      <c r="B634" s="53">
        <v>12203.682500000001</v>
      </c>
      <c r="C634" s="53">
        <v>1102.3677</v>
      </c>
      <c r="D634" s="53">
        <v>551.18380000000002</v>
      </c>
      <c r="E634" s="53">
        <v>551.18380000000002</v>
      </c>
      <c r="F634" s="53">
        <v>2204.7354</v>
      </c>
      <c r="G634" s="53">
        <v>1102.3677</v>
      </c>
      <c r="H634" s="53">
        <v>1102.3677</v>
      </c>
      <c r="I634" s="53">
        <v>2204.7354</v>
      </c>
      <c r="J634" s="53">
        <v>564.12350000000004</v>
      </c>
      <c r="K634" s="53">
        <v>1692.3705</v>
      </c>
      <c r="L634" s="53">
        <v>564.12350000000004</v>
      </c>
      <c r="M634" s="53">
        <v>564.12350000000004</v>
      </c>
      <c r="N634" s="3" t="s">
        <v>69</v>
      </c>
    </row>
    <row r="635" spans="1:14" x14ac:dyDescent="0.25">
      <c r="A635" s="51">
        <v>1.4239999999999999</v>
      </c>
      <c r="B635" s="53">
        <v>12209.88</v>
      </c>
      <c r="C635" s="53">
        <v>1103.1424</v>
      </c>
      <c r="D635" s="53">
        <v>551.57119999999998</v>
      </c>
      <c r="E635" s="53">
        <v>551.57119999999998</v>
      </c>
      <c r="F635" s="53">
        <v>2206.2847000000002</v>
      </c>
      <c r="G635" s="53">
        <v>1103.1424</v>
      </c>
      <c r="H635" s="53">
        <v>1103.1424</v>
      </c>
      <c r="I635" s="53">
        <v>2206.2847000000002</v>
      </c>
      <c r="J635" s="53">
        <v>564.12350000000004</v>
      </c>
      <c r="K635" s="53">
        <v>1692.3705</v>
      </c>
      <c r="L635" s="53">
        <v>564.12350000000004</v>
      </c>
      <c r="M635" s="53">
        <v>564.12350000000004</v>
      </c>
      <c r="N635" s="3" t="s">
        <v>69</v>
      </c>
    </row>
    <row r="636" spans="1:14" x14ac:dyDescent="0.25">
      <c r="A636" s="51">
        <v>1.425</v>
      </c>
      <c r="B636" s="53">
        <v>12216.0774</v>
      </c>
      <c r="C636" s="53">
        <v>1103.9170999999999</v>
      </c>
      <c r="D636" s="53">
        <v>551.95849999999996</v>
      </c>
      <c r="E636" s="53">
        <v>551.95849999999996</v>
      </c>
      <c r="F636" s="53">
        <v>2207.8341</v>
      </c>
      <c r="G636" s="53">
        <v>1103.9170999999999</v>
      </c>
      <c r="H636" s="53">
        <v>1103.9170999999999</v>
      </c>
      <c r="I636" s="53">
        <v>2207.8341</v>
      </c>
      <c r="J636" s="53">
        <v>564.12350000000004</v>
      </c>
      <c r="K636" s="53">
        <v>1692.3705</v>
      </c>
      <c r="L636" s="53">
        <v>564.12350000000004</v>
      </c>
      <c r="M636" s="53">
        <v>564.12350000000004</v>
      </c>
      <c r="N636" s="3" t="s">
        <v>69</v>
      </c>
    </row>
    <row r="637" spans="1:14" x14ac:dyDescent="0.25">
      <c r="A637" s="51">
        <v>1.4259999999999999</v>
      </c>
      <c r="B637" s="53">
        <v>12222.274799999999</v>
      </c>
      <c r="C637" s="53">
        <v>1104.6917000000001</v>
      </c>
      <c r="D637" s="53">
        <v>552.34590000000003</v>
      </c>
      <c r="E637" s="53">
        <v>552.34590000000003</v>
      </c>
      <c r="F637" s="53">
        <v>2209.3834999999999</v>
      </c>
      <c r="G637" s="53">
        <v>1104.6917000000001</v>
      </c>
      <c r="H637" s="53">
        <v>1104.6917000000001</v>
      </c>
      <c r="I637" s="53">
        <v>2209.3834999999999</v>
      </c>
      <c r="J637" s="53">
        <v>564.12350000000004</v>
      </c>
      <c r="K637" s="53">
        <v>1692.3705</v>
      </c>
      <c r="L637" s="53">
        <v>564.12350000000004</v>
      </c>
      <c r="M637" s="53">
        <v>564.12350000000004</v>
      </c>
      <c r="N637" s="3" t="s">
        <v>69</v>
      </c>
    </row>
    <row r="638" spans="1:14" x14ac:dyDescent="0.25">
      <c r="A638" s="51">
        <v>1.427</v>
      </c>
      <c r="B638" s="53">
        <v>12228.472299999999</v>
      </c>
      <c r="C638" s="53">
        <v>1105.4664</v>
      </c>
      <c r="D638" s="53">
        <v>552.73320000000001</v>
      </c>
      <c r="E638" s="53">
        <v>552.73320000000001</v>
      </c>
      <c r="F638" s="53">
        <v>2210.9328</v>
      </c>
      <c r="G638" s="53">
        <v>1105.4664</v>
      </c>
      <c r="H638" s="53">
        <v>1105.4664</v>
      </c>
      <c r="I638" s="53">
        <v>2210.9328</v>
      </c>
      <c r="J638" s="53">
        <v>564.12350000000004</v>
      </c>
      <c r="K638" s="53">
        <v>1692.3705</v>
      </c>
      <c r="L638" s="53">
        <v>564.12350000000004</v>
      </c>
      <c r="M638" s="53">
        <v>564.12350000000004</v>
      </c>
      <c r="N638" s="3" t="s">
        <v>69</v>
      </c>
    </row>
    <row r="639" spans="1:14" x14ac:dyDescent="0.25">
      <c r="A639" s="51">
        <v>1.4279999999999999</v>
      </c>
      <c r="B639" s="53">
        <v>12234.6697</v>
      </c>
      <c r="C639" s="53">
        <v>1106.2411</v>
      </c>
      <c r="D639" s="53">
        <v>553.12049999999999</v>
      </c>
      <c r="E639" s="53">
        <v>553.12049999999999</v>
      </c>
      <c r="F639" s="53">
        <v>2212.4821999999999</v>
      </c>
      <c r="G639" s="53">
        <v>1106.2411</v>
      </c>
      <c r="H639" s="53">
        <v>1106.2411</v>
      </c>
      <c r="I639" s="53">
        <v>2212.4821999999999</v>
      </c>
      <c r="J639" s="53">
        <v>564.12350000000004</v>
      </c>
      <c r="K639" s="53">
        <v>1692.3705</v>
      </c>
      <c r="L639" s="53">
        <v>564.12350000000004</v>
      </c>
      <c r="M639" s="53">
        <v>564.12350000000004</v>
      </c>
      <c r="N639" s="3" t="s">
        <v>69</v>
      </c>
    </row>
    <row r="640" spans="1:14" x14ac:dyDescent="0.25">
      <c r="A640" s="51">
        <v>1.429</v>
      </c>
      <c r="B640" s="53">
        <v>12240.867099999999</v>
      </c>
      <c r="C640" s="53">
        <v>1107.0157999999999</v>
      </c>
      <c r="D640" s="53">
        <v>553.50789999999995</v>
      </c>
      <c r="E640" s="53">
        <v>553.50789999999995</v>
      </c>
      <c r="F640" s="53">
        <v>2214.0315000000001</v>
      </c>
      <c r="G640" s="53">
        <v>1107.0157999999999</v>
      </c>
      <c r="H640" s="53">
        <v>1107.0157999999999</v>
      </c>
      <c r="I640" s="53">
        <v>2214.0315000000001</v>
      </c>
      <c r="J640" s="53">
        <v>564.12350000000004</v>
      </c>
      <c r="K640" s="53">
        <v>1692.3705</v>
      </c>
      <c r="L640" s="53">
        <v>564.12350000000004</v>
      </c>
      <c r="M640" s="53">
        <v>564.12350000000004</v>
      </c>
      <c r="N640" s="3" t="s">
        <v>69</v>
      </c>
    </row>
    <row r="641" spans="1:14" x14ac:dyDescent="0.25">
      <c r="A641" s="51">
        <v>1.43</v>
      </c>
      <c r="B641" s="53">
        <v>12247.0645</v>
      </c>
      <c r="C641" s="53">
        <v>1107.7904000000001</v>
      </c>
      <c r="D641" s="53">
        <v>553.89520000000005</v>
      </c>
      <c r="E641" s="53">
        <v>553.89520000000005</v>
      </c>
      <c r="F641" s="53">
        <v>2215.5808999999999</v>
      </c>
      <c r="G641" s="53">
        <v>1107.7904000000001</v>
      </c>
      <c r="H641" s="53">
        <v>1107.7904000000001</v>
      </c>
      <c r="I641" s="53">
        <v>2215.5808999999999</v>
      </c>
      <c r="J641" s="53">
        <v>564.12350000000004</v>
      </c>
      <c r="K641" s="53">
        <v>1692.3705</v>
      </c>
      <c r="L641" s="53">
        <v>564.12350000000004</v>
      </c>
      <c r="M641" s="53">
        <v>564.12350000000004</v>
      </c>
      <c r="N641" s="3" t="s">
        <v>69</v>
      </c>
    </row>
    <row r="642" spans="1:14" x14ac:dyDescent="0.25">
      <c r="A642" s="51">
        <v>1.431</v>
      </c>
      <c r="B642" s="53">
        <v>12253.262000000001</v>
      </c>
      <c r="C642" s="53">
        <v>1108.5651</v>
      </c>
      <c r="D642" s="53">
        <v>554.2826</v>
      </c>
      <c r="E642" s="53">
        <v>554.2826</v>
      </c>
      <c r="F642" s="53">
        <v>2217.1302000000001</v>
      </c>
      <c r="G642" s="53">
        <v>1108.5651</v>
      </c>
      <c r="H642" s="53">
        <v>1108.5651</v>
      </c>
      <c r="I642" s="53">
        <v>2217.1302000000001</v>
      </c>
      <c r="J642" s="53">
        <v>564.12350000000004</v>
      </c>
      <c r="K642" s="53">
        <v>1692.3705</v>
      </c>
      <c r="L642" s="53">
        <v>564.12350000000004</v>
      </c>
      <c r="M642" s="53">
        <v>564.12350000000004</v>
      </c>
      <c r="N642" s="3" t="s">
        <v>69</v>
      </c>
    </row>
    <row r="643" spans="1:14" x14ac:dyDescent="0.25">
      <c r="A643" s="51">
        <v>1.4319999999999999</v>
      </c>
      <c r="B643" s="53">
        <v>12259.4594</v>
      </c>
      <c r="C643" s="53">
        <v>1109.3398</v>
      </c>
      <c r="D643" s="53">
        <v>554.66989999999998</v>
      </c>
      <c r="E643" s="53">
        <v>554.66989999999998</v>
      </c>
      <c r="F643" s="53">
        <v>2218.6795999999999</v>
      </c>
      <c r="G643" s="53">
        <v>1109.3398</v>
      </c>
      <c r="H643" s="53">
        <v>1109.3398</v>
      </c>
      <c r="I643" s="53">
        <v>2218.6795999999999</v>
      </c>
      <c r="J643" s="53">
        <v>564.12350000000004</v>
      </c>
      <c r="K643" s="53">
        <v>1692.3705</v>
      </c>
      <c r="L643" s="53">
        <v>564.12350000000004</v>
      </c>
      <c r="M643" s="53">
        <v>564.12350000000004</v>
      </c>
      <c r="N643" s="3" t="s">
        <v>69</v>
      </c>
    </row>
    <row r="644" spans="1:14" x14ac:dyDescent="0.25">
      <c r="A644" s="51">
        <v>1.4330000000000001</v>
      </c>
      <c r="B644" s="53">
        <v>12265.656800000001</v>
      </c>
      <c r="C644" s="53">
        <v>1110.1144999999999</v>
      </c>
      <c r="D644" s="53">
        <v>555.05719999999997</v>
      </c>
      <c r="E644" s="53">
        <v>555.05719999999997</v>
      </c>
      <c r="F644" s="53">
        <v>2220.2289999999998</v>
      </c>
      <c r="G644" s="53">
        <v>1110.1144999999999</v>
      </c>
      <c r="H644" s="53">
        <v>1110.1144999999999</v>
      </c>
      <c r="I644" s="53">
        <v>2220.2289999999998</v>
      </c>
      <c r="J644" s="53">
        <v>564.12350000000004</v>
      </c>
      <c r="K644" s="53">
        <v>1692.3705</v>
      </c>
      <c r="L644" s="53">
        <v>564.12350000000004</v>
      </c>
      <c r="M644" s="53">
        <v>564.12350000000004</v>
      </c>
      <c r="N644" s="3" t="s">
        <v>69</v>
      </c>
    </row>
    <row r="645" spans="1:14" x14ac:dyDescent="0.25">
      <c r="A645" s="51">
        <v>1.4339999999999999</v>
      </c>
      <c r="B645" s="53">
        <v>12271.854300000001</v>
      </c>
      <c r="C645" s="53">
        <v>1110.8892000000001</v>
      </c>
      <c r="D645" s="53">
        <v>555.44460000000004</v>
      </c>
      <c r="E645" s="53">
        <v>555.44460000000004</v>
      </c>
      <c r="F645" s="53">
        <v>2221.7782999999999</v>
      </c>
      <c r="G645" s="53">
        <v>1110.8892000000001</v>
      </c>
      <c r="H645" s="53">
        <v>1110.8892000000001</v>
      </c>
      <c r="I645" s="53">
        <v>2221.7782999999999</v>
      </c>
      <c r="J645" s="53">
        <v>564.12350000000004</v>
      </c>
      <c r="K645" s="53">
        <v>1692.3705</v>
      </c>
      <c r="L645" s="53">
        <v>564.12350000000004</v>
      </c>
      <c r="M645" s="53">
        <v>564.12350000000004</v>
      </c>
      <c r="N645" s="3" t="s">
        <v>69</v>
      </c>
    </row>
    <row r="646" spans="1:14" x14ac:dyDescent="0.25">
      <c r="A646" s="51">
        <v>1.4350000000000001</v>
      </c>
      <c r="B646" s="53">
        <v>12278.0517</v>
      </c>
      <c r="C646" s="53">
        <v>1111.6638</v>
      </c>
      <c r="D646" s="53">
        <v>555.83190000000002</v>
      </c>
      <c r="E646" s="53">
        <v>555.83190000000002</v>
      </c>
      <c r="F646" s="53">
        <v>2223.3276999999998</v>
      </c>
      <c r="G646" s="53">
        <v>1111.6638</v>
      </c>
      <c r="H646" s="53">
        <v>1111.6638</v>
      </c>
      <c r="I646" s="53">
        <v>2223.3276999999998</v>
      </c>
      <c r="J646" s="53">
        <v>564.12350000000004</v>
      </c>
      <c r="K646" s="53">
        <v>1692.3705</v>
      </c>
      <c r="L646" s="53">
        <v>564.12350000000004</v>
      </c>
      <c r="M646" s="53">
        <v>564.12350000000004</v>
      </c>
      <c r="N646" s="3" t="s">
        <v>69</v>
      </c>
    </row>
    <row r="647" spans="1:14" x14ac:dyDescent="0.25">
      <c r="A647" s="51">
        <v>1.4359999999999999</v>
      </c>
      <c r="B647" s="53">
        <v>12284.249100000001</v>
      </c>
      <c r="C647" s="53">
        <v>1112.4385</v>
      </c>
      <c r="D647" s="53">
        <v>556.21929999999998</v>
      </c>
      <c r="E647" s="53">
        <v>556.21929999999998</v>
      </c>
      <c r="F647" s="53">
        <v>2224.877</v>
      </c>
      <c r="G647" s="53">
        <v>1112.4385</v>
      </c>
      <c r="H647" s="53">
        <v>1112.4385</v>
      </c>
      <c r="I647" s="53">
        <v>2224.877</v>
      </c>
      <c r="J647" s="53">
        <v>564.12350000000004</v>
      </c>
      <c r="K647" s="53">
        <v>1692.3705</v>
      </c>
      <c r="L647" s="53">
        <v>564.12350000000004</v>
      </c>
      <c r="M647" s="53">
        <v>564.12350000000004</v>
      </c>
      <c r="N647" s="3" t="s">
        <v>69</v>
      </c>
    </row>
    <row r="648" spans="1:14" x14ac:dyDescent="0.25">
      <c r="A648" s="51">
        <v>1.4370000000000001</v>
      </c>
      <c r="B648" s="53">
        <v>12290.4465</v>
      </c>
      <c r="C648" s="53">
        <v>1113.2131999999999</v>
      </c>
      <c r="D648" s="53">
        <v>556.60659999999996</v>
      </c>
      <c r="E648" s="53">
        <v>556.60659999999996</v>
      </c>
      <c r="F648" s="53">
        <v>2226.4263999999998</v>
      </c>
      <c r="G648" s="53">
        <v>1113.2131999999999</v>
      </c>
      <c r="H648" s="53">
        <v>1113.2131999999999</v>
      </c>
      <c r="I648" s="53">
        <v>2226.4263999999998</v>
      </c>
      <c r="J648" s="53">
        <v>564.12350000000004</v>
      </c>
      <c r="K648" s="53">
        <v>1692.3705</v>
      </c>
      <c r="L648" s="53">
        <v>564.12350000000004</v>
      </c>
      <c r="M648" s="53">
        <v>564.12350000000004</v>
      </c>
      <c r="N648" s="3" t="s">
        <v>69</v>
      </c>
    </row>
    <row r="649" spans="1:14" x14ac:dyDescent="0.25">
      <c r="A649" s="51">
        <v>1.4379999999999999</v>
      </c>
      <c r="B649" s="53">
        <v>12296.644</v>
      </c>
      <c r="C649" s="53">
        <v>1113.9879000000001</v>
      </c>
      <c r="D649" s="53">
        <v>556.99390000000005</v>
      </c>
      <c r="E649" s="53">
        <v>556.99390000000005</v>
      </c>
      <c r="F649" s="53">
        <v>2227.9757</v>
      </c>
      <c r="G649" s="53">
        <v>1113.9879000000001</v>
      </c>
      <c r="H649" s="53">
        <v>1113.9879000000001</v>
      </c>
      <c r="I649" s="53">
        <v>2227.9757</v>
      </c>
      <c r="J649" s="53">
        <v>564.12350000000004</v>
      </c>
      <c r="K649" s="53">
        <v>1692.3705</v>
      </c>
      <c r="L649" s="53">
        <v>564.12350000000004</v>
      </c>
      <c r="M649" s="53">
        <v>564.12350000000004</v>
      </c>
      <c r="N649" s="3" t="s">
        <v>69</v>
      </c>
    </row>
    <row r="650" spans="1:14" x14ac:dyDescent="0.25">
      <c r="A650" s="51">
        <v>1.4390000000000001</v>
      </c>
      <c r="B650" s="53">
        <v>12302.841399999999</v>
      </c>
      <c r="C650" s="53">
        <v>1114.7626</v>
      </c>
      <c r="D650" s="53">
        <v>557.38130000000001</v>
      </c>
      <c r="E650" s="53">
        <v>557.38130000000001</v>
      </c>
      <c r="F650" s="53">
        <v>2229.5250999999998</v>
      </c>
      <c r="G650" s="53">
        <v>1114.7626</v>
      </c>
      <c r="H650" s="53">
        <v>1114.7626</v>
      </c>
      <c r="I650" s="53">
        <v>2229.5250999999998</v>
      </c>
      <c r="J650" s="53">
        <v>564.12350000000004</v>
      </c>
      <c r="K650" s="53">
        <v>1692.3705</v>
      </c>
      <c r="L650" s="53">
        <v>564.12350000000004</v>
      </c>
      <c r="M650" s="53">
        <v>564.12350000000004</v>
      </c>
      <c r="N650" s="3" t="s">
        <v>69</v>
      </c>
    </row>
    <row r="651" spans="1:14" x14ac:dyDescent="0.25">
      <c r="A651" s="51">
        <v>1.44</v>
      </c>
      <c r="B651" s="53">
        <v>12309.0388</v>
      </c>
      <c r="C651" s="53">
        <v>1115.5372</v>
      </c>
      <c r="D651" s="53">
        <v>557.76859999999999</v>
      </c>
      <c r="E651" s="53">
        <v>557.76859999999999</v>
      </c>
      <c r="F651" s="53">
        <v>2231.0745000000002</v>
      </c>
      <c r="G651" s="53">
        <v>1115.5372</v>
      </c>
      <c r="H651" s="53">
        <v>1115.5372</v>
      </c>
      <c r="I651" s="53">
        <v>2231.0745000000002</v>
      </c>
      <c r="J651" s="53">
        <v>564.12350000000004</v>
      </c>
      <c r="K651" s="53">
        <v>1692.3705</v>
      </c>
      <c r="L651" s="53">
        <v>564.12350000000004</v>
      </c>
      <c r="M651" s="53">
        <v>564.12350000000004</v>
      </c>
      <c r="N651" s="3" t="s">
        <v>69</v>
      </c>
    </row>
    <row r="652" spans="1:14" x14ac:dyDescent="0.25">
      <c r="A652" s="51">
        <v>1.4410000000000001</v>
      </c>
      <c r="B652" s="53">
        <v>12315.2363</v>
      </c>
      <c r="C652" s="53">
        <v>1116.3118999999999</v>
      </c>
      <c r="D652" s="53">
        <v>558.15599999999995</v>
      </c>
      <c r="E652" s="53">
        <v>558.15599999999995</v>
      </c>
      <c r="F652" s="53">
        <v>2232.6237999999998</v>
      </c>
      <c r="G652" s="53">
        <v>1116.3118999999999</v>
      </c>
      <c r="H652" s="53">
        <v>1116.3118999999999</v>
      </c>
      <c r="I652" s="53">
        <v>2232.6237999999998</v>
      </c>
      <c r="J652" s="53">
        <v>564.12350000000004</v>
      </c>
      <c r="K652" s="53">
        <v>1692.3705</v>
      </c>
      <c r="L652" s="53">
        <v>564.12350000000004</v>
      </c>
      <c r="M652" s="53">
        <v>564.12350000000004</v>
      </c>
      <c r="N652" s="3" t="s">
        <v>69</v>
      </c>
    </row>
    <row r="653" spans="1:14" x14ac:dyDescent="0.25">
      <c r="A653" s="51">
        <v>1.4419999999999999</v>
      </c>
      <c r="B653" s="53">
        <v>12321.4337</v>
      </c>
      <c r="C653" s="53">
        <v>1117.0866000000001</v>
      </c>
      <c r="D653" s="53">
        <v>558.54330000000004</v>
      </c>
      <c r="E653" s="53">
        <v>558.54330000000004</v>
      </c>
      <c r="F653" s="53">
        <v>2234.1732000000002</v>
      </c>
      <c r="G653" s="53">
        <v>1117.0866000000001</v>
      </c>
      <c r="H653" s="53">
        <v>1117.0866000000001</v>
      </c>
      <c r="I653" s="53">
        <v>2234.1732000000002</v>
      </c>
      <c r="J653" s="53">
        <v>564.12350000000004</v>
      </c>
      <c r="K653" s="53">
        <v>1692.3705</v>
      </c>
      <c r="L653" s="53">
        <v>564.12350000000004</v>
      </c>
      <c r="M653" s="53">
        <v>564.12350000000004</v>
      </c>
      <c r="N653" s="3" t="s">
        <v>69</v>
      </c>
    </row>
    <row r="654" spans="1:14" x14ac:dyDescent="0.25">
      <c r="A654" s="51">
        <v>1.4430000000000001</v>
      </c>
      <c r="B654" s="53">
        <v>12327.631100000001</v>
      </c>
      <c r="C654" s="53">
        <v>1117.8613</v>
      </c>
      <c r="D654" s="53">
        <v>558.93060000000003</v>
      </c>
      <c r="E654" s="53">
        <v>558.93060000000003</v>
      </c>
      <c r="F654" s="53">
        <v>2235.7224999999999</v>
      </c>
      <c r="G654" s="53">
        <v>1117.8613</v>
      </c>
      <c r="H654" s="53">
        <v>1117.8613</v>
      </c>
      <c r="I654" s="53">
        <v>2235.7224999999999</v>
      </c>
      <c r="J654" s="53">
        <v>564.12350000000004</v>
      </c>
      <c r="K654" s="53">
        <v>1692.3705</v>
      </c>
      <c r="L654" s="53">
        <v>564.12350000000004</v>
      </c>
      <c r="M654" s="53">
        <v>564.12350000000004</v>
      </c>
      <c r="N654" s="3" t="s">
        <v>69</v>
      </c>
    </row>
    <row r="655" spans="1:14" x14ac:dyDescent="0.25">
      <c r="A655" s="51">
        <v>1.444</v>
      </c>
      <c r="B655" s="53">
        <v>12333.828600000001</v>
      </c>
      <c r="C655" s="53">
        <v>1118.6359</v>
      </c>
      <c r="D655" s="53">
        <v>559.31799999999998</v>
      </c>
      <c r="E655" s="53">
        <v>559.31799999999998</v>
      </c>
      <c r="F655" s="53">
        <v>2237.2719000000002</v>
      </c>
      <c r="G655" s="53">
        <v>1118.6359</v>
      </c>
      <c r="H655" s="53">
        <v>1118.6359</v>
      </c>
      <c r="I655" s="53">
        <v>2237.2719000000002</v>
      </c>
      <c r="J655" s="53">
        <v>564.12350000000004</v>
      </c>
      <c r="K655" s="53">
        <v>1692.3705</v>
      </c>
      <c r="L655" s="53">
        <v>564.12350000000004</v>
      </c>
      <c r="M655" s="53">
        <v>564.12350000000004</v>
      </c>
      <c r="N655" s="3" t="s">
        <v>69</v>
      </c>
    </row>
    <row r="656" spans="1:14" x14ac:dyDescent="0.25">
      <c r="A656" s="51">
        <v>1.4450000000000001</v>
      </c>
      <c r="B656" s="53">
        <v>12340.026</v>
      </c>
      <c r="C656" s="53">
        <v>1119.4105999999999</v>
      </c>
      <c r="D656" s="53">
        <v>559.70529999999997</v>
      </c>
      <c r="E656" s="53">
        <v>559.70529999999997</v>
      </c>
      <c r="F656" s="53">
        <v>2238.8211999999999</v>
      </c>
      <c r="G656" s="53">
        <v>1119.4105999999999</v>
      </c>
      <c r="H656" s="53">
        <v>1119.4105999999999</v>
      </c>
      <c r="I656" s="53">
        <v>2238.8211999999999</v>
      </c>
      <c r="J656" s="53">
        <v>564.12350000000004</v>
      </c>
      <c r="K656" s="53">
        <v>1692.3705</v>
      </c>
      <c r="L656" s="53">
        <v>564.12350000000004</v>
      </c>
      <c r="M656" s="53">
        <v>564.12350000000004</v>
      </c>
      <c r="N656" s="3" t="s">
        <v>69</v>
      </c>
    </row>
    <row r="657" spans="1:14" x14ac:dyDescent="0.25">
      <c r="A657" s="51">
        <v>1.446</v>
      </c>
      <c r="B657" s="53">
        <v>12346.223400000001</v>
      </c>
      <c r="C657" s="53">
        <v>1120.1853000000001</v>
      </c>
      <c r="D657" s="53">
        <v>560.09270000000004</v>
      </c>
      <c r="E657" s="53">
        <v>560.09270000000004</v>
      </c>
      <c r="F657" s="53">
        <v>2240.3706000000002</v>
      </c>
      <c r="G657" s="53">
        <v>1120.1853000000001</v>
      </c>
      <c r="H657" s="53">
        <v>1120.1853000000001</v>
      </c>
      <c r="I657" s="53">
        <v>2240.3706000000002</v>
      </c>
      <c r="J657" s="53">
        <v>564.12350000000004</v>
      </c>
      <c r="K657" s="53">
        <v>1692.3705</v>
      </c>
      <c r="L657" s="53">
        <v>564.12350000000004</v>
      </c>
      <c r="M657" s="53">
        <v>564.12350000000004</v>
      </c>
      <c r="N657" s="3" t="s">
        <v>69</v>
      </c>
    </row>
    <row r="658" spans="1:14" x14ac:dyDescent="0.25">
      <c r="A658" s="51">
        <v>1.4470000000000001</v>
      </c>
      <c r="B658" s="53">
        <v>12352.4208</v>
      </c>
      <c r="C658" s="53">
        <v>1120.96</v>
      </c>
      <c r="D658" s="53">
        <v>560.48</v>
      </c>
      <c r="E658" s="53">
        <v>560.48</v>
      </c>
      <c r="F658" s="53">
        <v>2241.92</v>
      </c>
      <c r="G658" s="53">
        <v>1120.96</v>
      </c>
      <c r="H658" s="53">
        <v>1120.96</v>
      </c>
      <c r="I658" s="53">
        <v>2241.92</v>
      </c>
      <c r="J658" s="53">
        <v>564.12350000000004</v>
      </c>
      <c r="K658" s="53">
        <v>1692.3705</v>
      </c>
      <c r="L658" s="53">
        <v>564.12350000000004</v>
      </c>
      <c r="M658" s="53">
        <v>564.12350000000004</v>
      </c>
      <c r="N658" s="3" t="s">
        <v>69</v>
      </c>
    </row>
    <row r="659" spans="1:14" x14ac:dyDescent="0.25">
      <c r="A659" s="51">
        <v>1.448</v>
      </c>
      <c r="B659" s="53">
        <v>12358.6183</v>
      </c>
      <c r="C659" s="53">
        <v>1121.7347</v>
      </c>
      <c r="D659" s="53">
        <v>560.8673</v>
      </c>
      <c r="E659" s="53">
        <v>560.8673</v>
      </c>
      <c r="F659" s="53">
        <v>2243.4693000000002</v>
      </c>
      <c r="G659" s="53">
        <v>1121.7347</v>
      </c>
      <c r="H659" s="53">
        <v>1121.7347</v>
      </c>
      <c r="I659" s="53">
        <v>2243.4693000000002</v>
      </c>
      <c r="J659" s="53">
        <v>564.12350000000004</v>
      </c>
      <c r="K659" s="53">
        <v>1692.3705</v>
      </c>
      <c r="L659" s="53">
        <v>564.12350000000004</v>
      </c>
      <c r="M659" s="53">
        <v>564.12350000000004</v>
      </c>
      <c r="N659" s="3" t="s">
        <v>69</v>
      </c>
    </row>
    <row r="660" spans="1:14" x14ac:dyDescent="0.25">
      <c r="A660" s="51">
        <v>1.4490000000000001</v>
      </c>
      <c r="B660" s="53">
        <v>12364.815699999999</v>
      </c>
      <c r="C660" s="53">
        <v>1122.5092999999999</v>
      </c>
      <c r="D660" s="53">
        <v>561.25469999999996</v>
      </c>
      <c r="E660" s="53">
        <v>561.25469999999996</v>
      </c>
      <c r="F660" s="53">
        <v>2245.0187000000001</v>
      </c>
      <c r="G660" s="53">
        <v>1122.5092999999999</v>
      </c>
      <c r="H660" s="53">
        <v>1122.5092999999999</v>
      </c>
      <c r="I660" s="53">
        <v>2245.0187000000001</v>
      </c>
      <c r="J660" s="53">
        <v>564.12350000000004</v>
      </c>
      <c r="K660" s="53">
        <v>1692.3705</v>
      </c>
      <c r="L660" s="53">
        <v>564.12350000000004</v>
      </c>
      <c r="M660" s="53">
        <v>564.12350000000004</v>
      </c>
      <c r="N660" s="3" t="s">
        <v>69</v>
      </c>
    </row>
    <row r="661" spans="1:14" x14ac:dyDescent="0.25">
      <c r="A661" s="51">
        <v>1.45</v>
      </c>
      <c r="B661" s="53">
        <v>12371.0131</v>
      </c>
      <c r="C661" s="53">
        <v>1123.2840000000001</v>
      </c>
      <c r="D661" s="53">
        <v>561.64200000000005</v>
      </c>
      <c r="E661" s="53">
        <v>561.64200000000005</v>
      </c>
      <c r="F661" s="53">
        <v>2246.5680000000002</v>
      </c>
      <c r="G661" s="53">
        <v>1123.2840000000001</v>
      </c>
      <c r="H661" s="53">
        <v>1123.2840000000001</v>
      </c>
      <c r="I661" s="53">
        <v>2246.5680000000002</v>
      </c>
      <c r="J661" s="53">
        <v>564.12350000000004</v>
      </c>
      <c r="K661" s="53">
        <v>1692.3705</v>
      </c>
      <c r="L661" s="53">
        <v>564.12350000000004</v>
      </c>
      <c r="M661" s="53">
        <v>564.12350000000004</v>
      </c>
      <c r="N661" s="3" t="s">
        <v>69</v>
      </c>
    </row>
    <row r="662" spans="1:14" x14ac:dyDescent="0.25">
      <c r="A662" s="51">
        <v>1.4510000000000001</v>
      </c>
      <c r="B662" s="53">
        <v>12377.2106</v>
      </c>
      <c r="C662" s="53">
        <v>1124.0587</v>
      </c>
      <c r="D662" s="53">
        <v>562.02930000000003</v>
      </c>
      <c r="E662" s="53">
        <v>562.02930000000003</v>
      </c>
      <c r="F662" s="53">
        <v>2248.1174000000001</v>
      </c>
      <c r="G662" s="53">
        <v>1124.0587</v>
      </c>
      <c r="H662" s="53">
        <v>1124.0587</v>
      </c>
      <c r="I662" s="53">
        <v>2248.1174000000001</v>
      </c>
      <c r="J662" s="53">
        <v>564.12350000000004</v>
      </c>
      <c r="K662" s="53">
        <v>1692.3705</v>
      </c>
      <c r="L662" s="53">
        <v>564.12350000000004</v>
      </c>
      <c r="M662" s="53">
        <v>564.12350000000004</v>
      </c>
      <c r="N662" s="3" t="s">
        <v>69</v>
      </c>
    </row>
    <row r="663" spans="1:14" x14ac:dyDescent="0.25">
      <c r="A663" s="51">
        <v>1.452</v>
      </c>
      <c r="B663" s="53">
        <v>12383.407999999999</v>
      </c>
      <c r="C663" s="53">
        <v>1124.8334</v>
      </c>
      <c r="D663" s="53">
        <v>562.41669999999999</v>
      </c>
      <c r="E663" s="53">
        <v>562.41669999999999</v>
      </c>
      <c r="F663" s="53">
        <v>2249.6667000000002</v>
      </c>
      <c r="G663" s="53">
        <v>1124.8334</v>
      </c>
      <c r="H663" s="53">
        <v>1124.8334</v>
      </c>
      <c r="I663" s="53">
        <v>2249.6667000000002</v>
      </c>
      <c r="J663" s="53">
        <v>564.12350000000004</v>
      </c>
      <c r="K663" s="53">
        <v>1692.3705</v>
      </c>
      <c r="L663" s="53">
        <v>564.12350000000004</v>
      </c>
      <c r="M663" s="53">
        <v>564.12350000000004</v>
      </c>
      <c r="N663" s="3" t="s">
        <v>69</v>
      </c>
    </row>
    <row r="664" spans="1:14" x14ac:dyDescent="0.25">
      <c r="A664" s="51">
        <v>1.4530000000000001</v>
      </c>
      <c r="B664" s="53">
        <v>12389.6054</v>
      </c>
      <c r="C664" s="53">
        <v>1125.6080999999999</v>
      </c>
      <c r="D664" s="53">
        <v>562.80399999999997</v>
      </c>
      <c r="E664" s="53">
        <v>562.80399999999997</v>
      </c>
      <c r="F664" s="53">
        <v>2251.2161000000001</v>
      </c>
      <c r="G664" s="53">
        <v>1125.6080999999999</v>
      </c>
      <c r="H664" s="53">
        <v>1125.6080999999999</v>
      </c>
      <c r="I664" s="53">
        <v>2251.2161000000001</v>
      </c>
      <c r="J664" s="53">
        <v>564.12350000000004</v>
      </c>
      <c r="K664" s="53">
        <v>1692.3705</v>
      </c>
      <c r="L664" s="53">
        <v>564.12350000000004</v>
      </c>
      <c r="M664" s="53">
        <v>564.12350000000004</v>
      </c>
      <c r="N664" s="3" t="s">
        <v>69</v>
      </c>
    </row>
    <row r="665" spans="1:14" x14ac:dyDescent="0.25">
      <c r="A665" s="51">
        <v>1.454</v>
      </c>
      <c r="B665" s="53">
        <v>12395.802799999999</v>
      </c>
      <c r="C665" s="53">
        <v>1126.3827000000001</v>
      </c>
      <c r="D665" s="53">
        <v>563.19140000000004</v>
      </c>
      <c r="E665" s="53">
        <v>563.19140000000004</v>
      </c>
      <c r="F665" s="53">
        <v>2252.7655</v>
      </c>
      <c r="G665" s="53">
        <v>1126.3827000000001</v>
      </c>
      <c r="H665" s="53">
        <v>1126.3827000000001</v>
      </c>
      <c r="I665" s="53">
        <v>2252.7655</v>
      </c>
      <c r="J665" s="53">
        <v>564.12350000000004</v>
      </c>
      <c r="K665" s="53">
        <v>1692.3705</v>
      </c>
      <c r="L665" s="53">
        <v>564.12350000000004</v>
      </c>
      <c r="M665" s="53">
        <v>564.12350000000004</v>
      </c>
      <c r="N665" s="3" t="s">
        <v>69</v>
      </c>
    </row>
    <row r="666" spans="1:14" x14ac:dyDescent="0.25">
      <c r="A666" s="51">
        <v>1.4550000000000001</v>
      </c>
      <c r="B666" s="53">
        <v>12402.0003</v>
      </c>
      <c r="C666" s="53">
        <v>1127.1574000000001</v>
      </c>
      <c r="D666" s="53">
        <v>563.57870000000003</v>
      </c>
      <c r="E666" s="53">
        <v>563.57870000000003</v>
      </c>
      <c r="F666" s="53">
        <v>2254.3148000000001</v>
      </c>
      <c r="G666" s="53">
        <v>1127.1574000000001</v>
      </c>
      <c r="H666" s="53">
        <v>1127.1574000000001</v>
      </c>
      <c r="I666" s="53">
        <v>2254.3148000000001</v>
      </c>
      <c r="J666" s="53">
        <v>564.12350000000004</v>
      </c>
      <c r="K666" s="53">
        <v>1692.3705</v>
      </c>
      <c r="L666" s="53">
        <v>564.12350000000004</v>
      </c>
      <c r="M666" s="53">
        <v>564.12350000000004</v>
      </c>
      <c r="N666" s="3" t="s">
        <v>69</v>
      </c>
    </row>
    <row r="667" spans="1:14" x14ac:dyDescent="0.25">
      <c r="A667" s="51">
        <v>1.456</v>
      </c>
      <c r="B667" s="53">
        <v>12408.197700000001</v>
      </c>
      <c r="C667" s="53">
        <v>1127.9321</v>
      </c>
      <c r="D667" s="53">
        <v>563.96600000000001</v>
      </c>
      <c r="E667" s="53">
        <v>563.96600000000001</v>
      </c>
      <c r="F667" s="53">
        <v>2255.8642</v>
      </c>
      <c r="G667" s="53">
        <v>1127.9321</v>
      </c>
      <c r="H667" s="53">
        <v>1127.9321</v>
      </c>
      <c r="I667" s="53">
        <v>2255.8642</v>
      </c>
      <c r="J667" s="53">
        <v>564.12350000000004</v>
      </c>
      <c r="K667" s="53">
        <v>1692.3705</v>
      </c>
      <c r="L667" s="53">
        <v>564.12350000000004</v>
      </c>
      <c r="M667" s="53">
        <v>564.12350000000004</v>
      </c>
      <c r="N667" s="3" t="s">
        <v>69</v>
      </c>
    </row>
    <row r="668" spans="1:14" x14ac:dyDescent="0.25">
      <c r="A668" s="51">
        <v>1.4570000000000001</v>
      </c>
      <c r="B668" s="53">
        <v>12414.3951</v>
      </c>
      <c r="C668" s="53">
        <v>1128.7067999999999</v>
      </c>
      <c r="D668" s="53">
        <v>564.35339999999997</v>
      </c>
      <c r="E668" s="53">
        <v>564.35339999999997</v>
      </c>
      <c r="F668" s="53">
        <v>2257.4135000000001</v>
      </c>
      <c r="G668" s="53">
        <v>1128.7067999999999</v>
      </c>
      <c r="H668" s="53">
        <v>1128.7067999999999</v>
      </c>
      <c r="I668" s="53">
        <v>2257.4135000000001</v>
      </c>
      <c r="J668" s="53">
        <v>564.12350000000004</v>
      </c>
      <c r="K668" s="53">
        <v>1692.3705</v>
      </c>
      <c r="L668" s="53">
        <v>564.12350000000004</v>
      </c>
      <c r="M668" s="53">
        <v>564.12350000000004</v>
      </c>
      <c r="N668" s="3" t="s">
        <v>69</v>
      </c>
    </row>
    <row r="669" spans="1:14" x14ac:dyDescent="0.25">
      <c r="A669" s="51">
        <v>1.458</v>
      </c>
      <c r="B669" s="53">
        <v>12420.5926</v>
      </c>
      <c r="C669" s="53">
        <v>1129.4813999999999</v>
      </c>
      <c r="D669" s="53">
        <v>564.74069999999995</v>
      </c>
      <c r="E669" s="53">
        <v>564.74069999999995</v>
      </c>
      <c r="F669" s="53">
        <v>2258.9629</v>
      </c>
      <c r="G669" s="53">
        <v>1129.4813999999999</v>
      </c>
      <c r="H669" s="53">
        <v>1129.4813999999999</v>
      </c>
      <c r="I669" s="53">
        <v>2258.9629</v>
      </c>
      <c r="J669" s="53">
        <v>564.12350000000004</v>
      </c>
      <c r="K669" s="53">
        <v>1692.3705</v>
      </c>
      <c r="L669" s="53">
        <v>564.12350000000004</v>
      </c>
      <c r="M669" s="53">
        <v>564.12350000000004</v>
      </c>
      <c r="N669" s="3" t="s">
        <v>69</v>
      </c>
    </row>
    <row r="670" spans="1:14" x14ac:dyDescent="0.25">
      <c r="A670" s="51">
        <v>1.4590000000000001</v>
      </c>
      <c r="B670" s="53">
        <v>12426.79</v>
      </c>
      <c r="C670" s="53">
        <v>1130.2561000000001</v>
      </c>
      <c r="D670" s="53">
        <v>565.12810000000002</v>
      </c>
      <c r="E670" s="53">
        <v>565.12810000000002</v>
      </c>
      <c r="F670" s="53">
        <v>2260.5122000000001</v>
      </c>
      <c r="G670" s="53">
        <v>1130.2561000000001</v>
      </c>
      <c r="H670" s="53">
        <v>1130.2561000000001</v>
      </c>
      <c r="I670" s="53">
        <v>2260.5122000000001</v>
      </c>
      <c r="J670" s="53">
        <v>564.12350000000004</v>
      </c>
      <c r="K670" s="53">
        <v>1692.3705</v>
      </c>
      <c r="L670" s="53">
        <v>564.12350000000004</v>
      </c>
      <c r="M670" s="53">
        <v>564.12350000000004</v>
      </c>
      <c r="N670" s="3" t="s">
        <v>69</v>
      </c>
    </row>
    <row r="671" spans="1:14" x14ac:dyDescent="0.25">
      <c r="A671" s="51">
        <v>1.46</v>
      </c>
      <c r="B671" s="53">
        <v>12432.9874</v>
      </c>
      <c r="C671" s="53">
        <v>1131.0308</v>
      </c>
      <c r="D671" s="53">
        <v>565.5154</v>
      </c>
      <c r="E671" s="53">
        <v>565.5154</v>
      </c>
      <c r="F671" s="53">
        <v>2262.0616</v>
      </c>
      <c r="G671" s="53">
        <v>1131.0308</v>
      </c>
      <c r="H671" s="53">
        <v>1131.0308</v>
      </c>
      <c r="I671" s="53">
        <v>2262.0616</v>
      </c>
      <c r="J671" s="53">
        <v>564.12350000000004</v>
      </c>
      <c r="K671" s="53">
        <v>1692.3705</v>
      </c>
      <c r="L671" s="53">
        <v>564.12350000000004</v>
      </c>
      <c r="M671" s="53">
        <v>564.12350000000004</v>
      </c>
      <c r="N671" s="3" t="s">
        <v>69</v>
      </c>
    </row>
    <row r="672" spans="1:14" x14ac:dyDescent="0.25">
      <c r="A672" s="51">
        <v>1.4610000000000001</v>
      </c>
      <c r="B672" s="53">
        <v>12439.184800000001</v>
      </c>
      <c r="C672" s="53">
        <v>1131.8054999999999</v>
      </c>
      <c r="D672" s="53">
        <v>565.90269999999998</v>
      </c>
      <c r="E672" s="53">
        <v>565.90269999999998</v>
      </c>
      <c r="F672" s="53">
        <v>2263.6109999999999</v>
      </c>
      <c r="G672" s="53">
        <v>1131.8054999999999</v>
      </c>
      <c r="H672" s="53">
        <v>1131.8054999999999</v>
      </c>
      <c r="I672" s="53">
        <v>2263.6109999999999</v>
      </c>
      <c r="J672" s="53">
        <v>564.12350000000004</v>
      </c>
      <c r="K672" s="53">
        <v>1692.3705</v>
      </c>
      <c r="L672" s="53">
        <v>564.12350000000004</v>
      </c>
      <c r="M672" s="53">
        <v>564.12350000000004</v>
      </c>
      <c r="N672" s="3" t="s">
        <v>69</v>
      </c>
    </row>
    <row r="673" spans="1:14" x14ac:dyDescent="0.25">
      <c r="A673" s="51">
        <v>1.462</v>
      </c>
      <c r="B673" s="53">
        <v>12445.382299999999</v>
      </c>
      <c r="C673" s="53">
        <v>1132.5802000000001</v>
      </c>
      <c r="D673" s="53">
        <v>566.29010000000005</v>
      </c>
      <c r="E673" s="53">
        <v>566.29010000000005</v>
      </c>
      <c r="F673" s="53">
        <v>2265.1603</v>
      </c>
      <c r="G673" s="53">
        <v>1132.5802000000001</v>
      </c>
      <c r="H673" s="53">
        <v>1132.5802000000001</v>
      </c>
      <c r="I673" s="53">
        <v>2265.1603</v>
      </c>
      <c r="J673" s="53">
        <v>564.12350000000004</v>
      </c>
      <c r="K673" s="53">
        <v>1692.3705</v>
      </c>
      <c r="L673" s="53">
        <v>564.12350000000004</v>
      </c>
      <c r="M673" s="53">
        <v>564.12350000000004</v>
      </c>
      <c r="N673" s="3" t="s">
        <v>69</v>
      </c>
    </row>
    <row r="674" spans="1:14" x14ac:dyDescent="0.25">
      <c r="A674" s="51">
        <v>1.4630000000000001</v>
      </c>
      <c r="B674" s="53">
        <v>12451.5797</v>
      </c>
      <c r="C674" s="53">
        <v>1133.3548000000001</v>
      </c>
      <c r="D674" s="53">
        <v>566.67740000000003</v>
      </c>
      <c r="E674" s="53">
        <v>566.67740000000003</v>
      </c>
      <c r="F674" s="53">
        <v>2266.7096999999999</v>
      </c>
      <c r="G674" s="53">
        <v>1133.3548000000001</v>
      </c>
      <c r="H674" s="53">
        <v>1133.3548000000001</v>
      </c>
      <c r="I674" s="53">
        <v>2266.7096999999999</v>
      </c>
      <c r="J674" s="53">
        <v>564.12350000000004</v>
      </c>
      <c r="K674" s="53">
        <v>1692.3705</v>
      </c>
      <c r="L674" s="53">
        <v>564.12350000000004</v>
      </c>
      <c r="M674" s="53">
        <v>564.12350000000004</v>
      </c>
      <c r="N674" s="3" t="s">
        <v>69</v>
      </c>
    </row>
    <row r="675" spans="1:14" x14ac:dyDescent="0.25">
      <c r="A675" s="51">
        <v>1.464</v>
      </c>
      <c r="B675" s="53">
        <v>12457.777099999999</v>
      </c>
      <c r="C675" s="53">
        <v>1134.1295</v>
      </c>
      <c r="D675" s="53">
        <v>567.06479999999999</v>
      </c>
      <c r="E675" s="53">
        <v>567.06479999999999</v>
      </c>
      <c r="F675" s="53">
        <v>2268.259</v>
      </c>
      <c r="G675" s="53">
        <v>1134.1295</v>
      </c>
      <c r="H675" s="53">
        <v>1134.1295</v>
      </c>
      <c r="I675" s="53">
        <v>2268.259</v>
      </c>
      <c r="J675" s="53">
        <v>564.12350000000004</v>
      </c>
      <c r="K675" s="53">
        <v>1692.3705</v>
      </c>
      <c r="L675" s="53">
        <v>564.12350000000004</v>
      </c>
      <c r="M675" s="53">
        <v>564.12350000000004</v>
      </c>
      <c r="N675" s="3" t="s">
        <v>69</v>
      </c>
    </row>
    <row r="676" spans="1:14" x14ac:dyDescent="0.25">
      <c r="A676" s="51">
        <v>1.4650000000000001</v>
      </c>
      <c r="B676" s="53">
        <v>12463.9746</v>
      </c>
      <c r="C676" s="53">
        <v>1134.9041999999999</v>
      </c>
      <c r="D676" s="53">
        <v>567.45209999999997</v>
      </c>
      <c r="E676" s="53">
        <v>567.45209999999997</v>
      </c>
      <c r="F676" s="53">
        <v>2269.8083999999999</v>
      </c>
      <c r="G676" s="53">
        <v>1134.9041999999999</v>
      </c>
      <c r="H676" s="53">
        <v>1134.9041999999999</v>
      </c>
      <c r="I676" s="53">
        <v>2269.8083999999999</v>
      </c>
      <c r="J676" s="53">
        <v>564.12350000000004</v>
      </c>
      <c r="K676" s="53">
        <v>1692.3705</v>
      </c>
      <c r="L676" s="53">
        <v>564.12350000000004</v>
      </c>
      <c r="M676" s="53">
        <v>564.12350000000004</v>
      </c>
      <c r="N676" s="3" t="s">
        <v>69</v>
      </c>
    </row>
    <row r="677" spans="1:14" x14ac:dyDescent="0.25">
      <c r="A677" s="51">
        <v>1.466</v>
      </c>
      <c r="B677" s="53">
        <v>12470.172</v>
      </c>
      <c r="C677" s="53">
        <v>1135.6789000000001</v>
      </c>
      <c r="D677" s="53">
        <v>567.83939999999996</v>
      </c>
      <c r="E677" s="53">
        <v>567.83939999999996</v>
      </c>
      <c r="F677" s="53">
        <v>2271.3577</v>
      </c>
      <c r="G677" s="53">
        <v>1135.6789000000001</v>
      </c>
      <c r="H677" s="53">
        <v>1135.6789000000001</v>
      </c>
      <c r="I677" s="53">
        <v>2271.3577</v>
      </c>
      <c r="J677" s="53">
        <v>564.12350000000004</v>
      </c>
      <c r="K677" s="53">
        <v>1692.3705</v>
      </c>
      <c r="L677" s="53">
        <v>564.12350000000004</v>
      </c>
      <c r="M677" s="53">
        <v>564.12350000000004</v>
      </c>
      <c r="N677" s="3" t="s">
        <v>69</v>
      </c>
    </row>
    <row r="678" spans="1:14" x14ac:dyDescent="0.25">
      <c r="A678" s="51">
        <v>1.4670000000000001</v>
      </c>
      <c r="B678" s="53">
        <v>12476.3694</v>
      </c>
      <c r="C678" s="53">
        <v>1136.4536000000001</v>
      </c>
      <c r="D678" s="53">
        <v>568.22680000000003</v>
      </c>
      <c r="E678" s="53">
        <v>568.22680000000003</v>
      </c>
      <c r="F678" s="53">
        <v>2272.9070999999999</v>
      </c>
      <c r="G678" s="53">
        <v>1136.4536000000001</v>
      </c>
      <c r="H678" s="53">
        <v>1136.4536000000001</v>
      </c>
      <c r="I678" s="53">
        <v>2272.9070999999999</v>
      </c>
      <c r="J678" s="53">
        <v>564.12350000000004</v>
      </c>
      <c r="K678" s="53">
        <v>1692.3705</v>
      </c>
      <c r="L678" s="53">
        <v>564.12350000000004</v>
      </c>
      <c r="M678" s="53">
        <v>564.12350000000004</v>
      </c>
      <c r="N678" s="3" t="s">
        <v>69</v>
      </c>
    </row>
    <row r="679" spans="1:14" x14ac:dyDescent="0.25">
      <c r="A679" s="51">
        <v>1.468</v>
      </c>
      <c r="B679" s="53">
        <v>12482.566800000001</v>
      </c>
      <c r="C679" s="53">
        <v>1137.2282</v>
      </c>
      <c r="D679" s="53">
        <v>568.61410000000001</v>
      </c>
      <c r="E679" s="53">
        <v>568.61410000000001</v>
      </c>
      <c r="F679" s="53">
        <v>2274.4564999999998</v>
      </c>
      <c r="G679" s="53">
        <v>1137.2282</v>
      </c>
      <c r="H679" s="53">
        <v>1137.2282</v>
      </c>
      <c r="I679" s="53">
        <v>2274.4564999999998</v>
      </c>
      <c r="J679" s="53">
        <v>564.12350000000004</v>
      </c>
      <c r="K679" s="53">
        <v>1692.3705</v>
      </c>
      <c r="L679" s="53">
        <v>564.12350000000004</v>
      </c>
      <c r="M679" s="53">
        <v>564.12350000000004</v>
      </c>
      <c r="N679" s="3" t="s">
        <v>69</v>
      </c>
    </row>
    <row r="680" spans="1:14" x14ac:dyDescent="0.25">
      <c r="A680" s="51">
        <v>1.4690000000000001</v>
      </c>
      <c r="B680" s="53">
        <v>12488.764300000001</v>
      </c>
      <c r="C680" s="53">
        <v>1138.0029</v>
      </c>
      <c r="D680" s="53">
        <v>569.00149999999996</v>
      </c>
      <c r="E680" s="53">
        <v>569.00149999999996</v>
      </c>
      <c r="F680" s="53">
        <v>2276.0057999999999</v>
      </c>
      <c r="G680" s="53">
        <v>1138.0029</v>
      </c>
      <c r="H680" s="53">
        <v>1138.0029</v>
      </c>
      <c r="I680" s="53">
        <v>2276.0057999999999</v>
      </c>
      <c r="J680" s="53">
        <v>564.12350000000004</v>
      </c>
      <c r="K680" s="53">
        <v>1692.3705</v>
      </c>
      <c r="L680" s="53">
        <v>564.12350000000004</v>
      </c>
      <c r="M680" s="53">
        <v>564.12350000000004</v>
      </c>
      <c r="N680" s="3" t="s">
        <v>69</v>
      </c>
    </row>
    <row r="681" spans="1:14" x14ac:dyDescent="0.25">
      <c r="A681" s="51">
        <v>1.47</v>
      </c>
      <c r="B681" s="53">
        <v>12494.9617</v>
      </c>
      <c r="C681" s="53">
        <v>1138.7775999999999</v>
      </c>
      <c r="D681" s="53">
        <v>569.38879999999995</v>
      </c>
      <c r="E681" s="53">
        <v>569.38879999999995</v>
      </c>
      <c r="F681" s="53">
        <v>2277.5551999999998</v>
      </c>
      <c r="G681" s="53">
        <v>1138.7775999999999</v>
      </c>
      <c r="H681" s="53">
        <v>1138.7775999999999</v>
      </c>
      <c r="I681" s="53">
        <v>2277.5551999999998</v>
      </c>
      <c r="J681" s="53">
        <v>564.12350000000004</v>
      </c>
      <c r="K681" s="53">
        <v>1692.3705</v>
      </c>
      <c r="L681" s="53">
        <v>564.12350000000004</v>
      </c>
      <c r="M681" s="53">
        <v>564.12350000000004</v>
      </c>
      <c r="N681" s="3" t="s">
        <v>69</v>
      </c>
    </row>
    <row r="682" spans="1:14" x14ac:dyDescent="0.25">
      <c r="A682" s="51">
        <v>1.4710000000000001</v>
      </c>
      <c r="B682" s="53">
        <v>12501.159100000001</v>
      </c>
      <c r="C682" s="53">
        <v>1139.5523000000001</v>
      </c>
      <c r="D682" s="53">
        <v>569.77610000000004</v>
      </c>
      <c r="E682" s="53">
        <v>569.77610000000004</v>
      </c>
      <c r="F682" s="53">
        <v>2279.1044999999999</v>
      </c>
      <c r="G682" s="53">
        <v>1139.5523000000001</v>
      </c>
      <c r="H682" s="53">
        <v>1139.5523000000001</v>
      </c>
      <c r="I682" s="53">
        <v>2279.1044999999999</v>
      </c>
      <c r="J682" s="53">
        <v>564.12350000000004</v>
      </c>
      <c r="K682" s="53">
        <v>1692.3705</v>
      </c>
      <c r="L682" s="53">
        <v>564.12350000000004</v>
      </c>
      <c r="M682" s="53">
        <v>564.12350000000004</v>
      </c>
      <c r="N682" s="3" t="s">
        <v>69</v>
      </c>
    </row>
    <row r="683" spans="1:14" x14ac:dyDescent="0.25">
      <c r="A683" s="51">
        <v>1.472</v>
      </c>
      <c r="B683" s="53">
        <v>12507.356599999999</v>
      </c>
      <c r="C683" s="53">
        <v>1140.3269</v>
      </c>
      <c r="D683" s="53">
        <v>570.1635</v>
      </c>
      <c r="E683" s="53">
        <v>570.1635</v>
      </c>
      <c r="F683" s="53">
        <v>2280.6538999999998</v>
      </c>
      <c r="G683" s="53">
        <v>1140.3269</v>
      </c>
      <c r="H683" s="53">
        <v>1140.3269</v>
      </c>
      <c r="I683" s="53">
        <v>2280.6538999999998</v>
      </c>
      <c r="J683" s="53">
        <v>564.12350000000004</v>
      </c>
      <c r="K683" s="53">
        <v>1692.3705</v>
      </c>
      <c r="L683" s="53">
        <v>564.12350000000004</v>
      </c>
      <c r="M683" s="53">
        <v>564.12350000000004</v>
      </c>
      <c r="N683" s="3" t="s">
        <v>69</v>
      </c>
    </row>
    <row r="684" spans="1:14" x14ac:dyDescent="0.25">
      <c r="A684" s="51">
        <v>1.4730000000000001</v>
      </c>
      <c r="B684" s="53">
        <v>12513.554</v>
      </c>
      <c r="C684" s="53">
        <v>1141.1016</v>
      </c>
      <c r="D684" s="53">
        <v>570.55079999999998</v>
      </c>
      <c r="E684" s="53">
        <v>570.55079999999998</v>
      </c>
      <c r="F684" s="53">
        <v>2282.2031999999999</v>
      </c>
      <c r="G684" s="53">
        <v>1141.1016</v>
      </c>
      <c r="H684" s="53">
        <v>1141.1016</v>
      </c>
      <c r="I684" s="53">
        <v>2282.2031999999999</v>
      </c>
      <c r="J684" s="53">
        <v>564.12350000000004</v>
      </c>
      <c r="K684" s="53">
        <v>1692.3705</v>
      </c>
      <c r="L684" s="53">
        <v>564.12350000000004</v>
      </c>
      <c r="M684" s="53">
        <v>564.12350000000004</v>
      </c>
      <c r="N684" s="3" t="s">
        <v>69</v>
      </c>
    </row>
    <row r="685" spans="1:14" x14ac:dyDescent="0.25">
      <c r="A685" s="51">
        <v>1.474</v>
      </c>
      <c r="B685" s="53">
        <v>12519.751399999999</v>
      </c>
      <c r="C685" s="53">
        <v>1141.8762999999999</v>
      </c>
      <c r="D685" s="53">
        <v>570.93820000000005</v>
      </c>
      <c r="E685" s="53">
        <v>570.93820000000005</v>
      </c>
      <c r="F685" s="53">
        <v>2283.7525999999998</v>
      </c>
      <c r="G685" s="53">
        <v>1141.8762999999999</v>
      </c>
      <c r="H685" s="53">
        <v>1141.8762999999999</v>
      </c>
      <c r="I685" s="53">
        <v>2283.7525999999998</v>
      </c>
      <c r="J685" s="53">
        <v>564.12350000000004</v>
      </c>
      <c r="K685" s="53">
        <v>1692.3705</v>
      </c>
      <c r="L685" s="53">
        <v>564.12350000000004</v>
      </c>
      <c r="M685" s="53">
        <v>564.12350000000004</v>
      </c>
      <c r="N685" s="3" t="s">
        <v>69</v>
      </c>
    </row>
    <row r="686" spans="1:14" x14ac:dyDescent="0.25">
      <c r="A686" s="51">
        <v>1.4750000000000001</v>
      </c>
      <c r="B686" s="53">
        <v>12525.948899999999</v>
      </c>
      <c r="C686" s="53">
        <v>1142.6510000000001</v>
      </c>
      <c r="D686" s="53">
        <v>571.32550000000003</v>
      </c>
      <c r="E686" s="53">
        <v>571.32550000000003</v>
      </c>
      <c r="F686" s="53">
        <v>2285.3020000000001</v>
      </c>
      <c r="G686" s="53">
        <v>1142.6510000000001</v>
      </c>
      <c r="H686" s="53">
        <v>1142.6510000000001</v>
      </c>
      <c r="I686" s="53">
        <v>2285.3020000000001</v>
      </c>
      <c r="J686" s="53">
        <v>564.12350000000004</v>
      </c>
      <c r="K686" s="53">
        <v>1692.3705</v>
      </c>
      <c r="L686" s="53">
        <v>564.12350000000004</v>
      </c>
      <c r="M686" s="53">
        <v>564.12350000000004</v>
      </c>
      <c r="N686" s="3" t="s">
        <v>69</v>
      </c>
    </row>
    <row r="687" spans="1:14" x14ac:dyDescent="0.25">
      <c r="A687" s="51">
        <v>1.476</v>
      </c>
      <c r="B687" s="53">
        <v>12532.1463</v>
      </c>
      <c r="C687" s="53">
        <v>1143.4257</v>
      </c>
      <c r="D687" s="53">
        <v>571.71280000000002</v>
      </c>
      <c r="E687" s="53">
        <v>571.71280000000002</v>
      </c>
      <c r="F687" s="53">
        <v>2286.8512999999998</v>
      </c>
      <c r="G687" s="53">
        <v>1143.4257</v>
      </c>
      <c r="H687" s="53">
        <v>1143.4257</v>
      </c>
      <c r="I687" s="53">
        <v>2286.8512999999998</v>
      </c>
      <c r="J687" s="53">
        <v>564.12350000000004</v>
      </c>
      <c r="K687" s="53">
        <v>1692.3705</v>
      </c>
      <c r="L687" s="53">
        <v>564.12350000000004</v>
      </c>
      <c r="M687" s="53">
        <v>564.12350000000004</v>
      </c>
      <c r="N687" s="3" t="s">
        <v>69</v>
      </c>
    </row>
    <row r="688" spans="1:14" x14ac:dyDescent="0.25">
      <c r="A688" s="51">
        <v>1.4770000000000001</v>
      </c>
      <c r="B688" s="53">
        <v>12538.343699999999</v>
      </c>
      <c r="C688" s="53">
        <v>1144.2003</v>
      </c>
      <c r="D688" s="53">
        <v>572.10019999999997</v>
      </c>
      <c r="E688" s="53">
        <v>572.10019999999997</v>
      </c>
      <c r="F688" s="53">
        <v>2288.4007000000001</v>
      </c>
      <c r="G688" s="53">
        <v>1144.2003</v>
      </c>
      <c r="H688" s="53">
        <v>1144.2003</v>
      </c>
      <c r="I688" s="53">
        <v>2288.4007000000001</v>
      </c>
      <c r="J688" s="53">
        <v>564.12350000000004</v>
      </c>
      <c r="K688" s="53">
        <v>1692.3705</v>
      </c>
      <c r="L688" s="53">
        <v>564.12350000000004</v>
      </c>
      <c r="M688" s="53">
        <v>564.12350000000004</v>
      </c>
      <c r="N688" s="3" t="s">
        <v>69</v>
      </c>
    </row>
    <row r="689" spans="1:14" x14ac:dyDescent="0.25">
      <c r="A689" s="51">
        <v>1.478</v>
      </c>
      <c r="B689" s="53">
        <v>12544.5411</v>
      </c>
      <c r="C689" s="53">
        <v>1144.9749999999999</v>
      </c>
      <c r="D689" s="53">
        <v>572.48749999999995</v>
      </c>
      <c r="E689" s="53">
        <v>572.48749999999995</v>
      </c>
      <c r="F689" s="53">
        <v>2289.9499999999998</v>
      </c>
      <c r="G689" s="53">
        <v>1144.9749999999999</v>
      </c>
      <c r="H689" s="53">
        <v>1144.9749999999999</v>
      </c>
      <c r="I689" s="53">
        <v>2289.9499999999998</v>
      </c>
      <c r="J689" s="53">
        <v>564.12350000000004</v>
      </c>
      <c r="K689" s="53">
        <v>1692.3705</v>
      </c>
      <c r="L689" s="53">
        <v>564.12350000000004</v>
      </c>
      <c r="M689" s="53">
        <v>564.12350000000004</v>
      </c>
      <c r="N689" s="3" t="s">
        <v>69</v>
      </c>
    </row>
    <row r="690" spans="1:14" x14ac:dyDescent="0.25">
      <c r="A690" s="51">
        <v>1.4790000000000001</v>
      </c>
      <c r="B690" s="53">
        <v>12550.738600000001</v>
      </c>
      <c r="C690" s="53">
        <v>1145.7497000000001</v>
      </c>
      <c r="D690" s="53">
        <v>572.87480000000005</v>
      </c>
      <c r="E690" s="53">
        <v>572.87480000000005</v>
      </c>
      <c r="F690" s="53">
        <v>2291.4994000000002</v>
      </c>
      <c r="G690" s="53">
        <v>1145.7497000000001</v>
      </c>
      <c r="H690" s="53">
        <v>1145.7497000000001</v>
      </c>
      <c r="I690" s="53">
        <v>2291.4994000000002</v>
      </c>
      <c r="J690" s="53">
        <v>564.12350000000004</v>
      </c>
      <c r="K690" s="53">
        <v>1692.3705</v>
      </c>
      <c r="L690" s="53">
        <v>564.12350000000004</v>
      </c>
      <c r="M690" s="53">
        <v>564.12350000000004</v>
      </c>
      <c r="N690" s="3" t="s">
        <v>69</v>
      </c>
    </row>
    <row r="691" spans="1:14" x14ac:dyDescent="0.25">
      <c r="A691" s="51">
        <v>1.48</v>
      </c>
      <c r="B691" s="53">
        <v>12556.936</v>
      </c>
      <c r="C691" s="53">
        <v>1146.5244</v>
      </c>
      <c r="D691" s="53">
        <v>573.26220000000001</v>
      </c>
      <c r="E691" s="53">
        <v>573.26220000000001</v>
      </c>
      <c r="F691" s="53">
        <v>2293.0488</v>
      </c>
      <c r="G691" s="53">
        <v>1146.5244</v>
      </c>
      <c r="H691" s="53">
        <v>1146.5244</v>
      </c>
      <c r="I691" s="53">
        <v>2293.0488</v>
      </c>
      <c r="J691" s="53">
        <v>564.12350000000004</v>
      </c>
      <c r="K691" s="53">
        <v>1692.3705</v>
      </c>
      <c r="L691" s="53">
        <v>564.12350000000004</v>
      </c>
      <c r="M691" s="53">
        <v>564.12350000000004</v>
      </c>
      <c r="N691" s="3" t="s">
        <v>69</v>
      </c>
    </row>
    <row r="692" spans="1:14" x14ac:dyDescent="0.25">
      <c r="A692" s="51">
        <v>1.4810000000000001</v>
      </c>
      <c r="B692" s="53">
        <v>12563.133400000001</v>
      </c>
      <c r="C692" s="53">
        <v>1147.2991</v>
      </c>
      <c r="D692" s="53">
        <v>573.64949999999999</v>
      </c>
      <c r="E692" s="53">
        <v>573.64949999999999</v>
      </c>
      <c r="F692" s="53">
        <v>2294.5981000000002</v>
      </c>
      <c r="G692" s="53">
        <v>1147.2991</v>
      </c>
      <c r="H692" s="53">
        <v>1147.2991</v>
      </c>
      <c r="I692" s="53">
        <v>2294.5981000000002</v>
      </c>
      <c r="J692" s="53">
        <v>564.12350000000004</v>
      </c>
      <c r="K692" s="53">
        <v>1692.3705</v>
      </c>
      <c r="L692" s="53">
        <v>564.12350000000004</v>
      </c>
      <c r="M692" s="53">
        <v>564.12350000000004</v>
      </c>
      <c r="N692" s="3" t="s">
        <v>69</v>
      </c>
    </row>
    <row r="693" spans="1:14" x14ac:dyDescent="0.25">
      <c r="A693" s="51">
        <v>1.482</v>
      </c>
      <c r="B693" s="53">
        <v>12569.330900000001</v>
      </c>
      <c r="C693" s="53">
        <v>1148.0736999999999</v>
      </c>
      <c r="D693" s="53">
        <v>574.03689999999995</v>
      </c>
      <c r="E693" s="53">
        <v>574.03689999999995</v>
      </c>
      <c r="F693" s="53">
        <v>2296.1475</v>
      </c>
      <c r="G693" s="53">
        <v>1148.0736999999999</v>
      </c>
      <c r="H693" s="53">
        <v>1148.0736999999999</v>
      </c>
      <c r="I693" s="53">
        <v>2296.1475</v>
      </c>
      <c r="J693" s="53">
        <v>564.12350000000004</v>
      </c>
      <c r="K693" s="53">
        <v>1692.3705</v>
      </c>
      <c r="L693" s="53">
        <v>564.12350000000004</v>
      </c>
      <c r="M693" s="53">
        <v>564.12350000000004</v>
      </c>
      <c r="N693" s="3" t="s">
        <v>69</v>
      </c>
    </row>
    <row r="694" spans="1:14" x14ac:dyDescent="0.25">
      <c r="A694" s="51">
        <v>1.4830000000000001</v>
      </c>
      <c r="B694" s="53">
        <v>12575.5283</v>
      </c>
      <c r="C694" s="53">
        <v>1148.8484000000001</v>
      </c>
      <c r="D694" s="53">
        <v>574.42420000000004</v>
      </c>
      <c r="E694" s="53">
        <v>574.42420000000004</v>
      </c>
      <c r="F694" s="53">
        <v>2297.6968000000002</v>
      </c>
      <c r="G694" s="53">
        <v>1148.8484000000001</v>
      </c>
      <c r="H694" s="53">
        <v>1148.8484000000001</v>
      </c>
      <c r="I694" s="53">
        <v>2297.6968000000002</v>
      </c>
      <c r="J694" s="53">
        <v>564.12350000000004</v>
      </c>
      <c r="K694" s="53">
        <v>1692.3705</v>
      </c>
      <c r="L694" s="53">
        <v>564.12350000000004</v>
      </c>
      <c r="M694" s="53">
        <v>564.12350000000004</v>
      </c>
      <c r="N694" s="3" t="s">
        <v>69</v>
      </c>
    </row>
    <row r="695" spans="1:14" x14ac:dyDescent="0.25">
      <c r="A695" s="51">
        <v>1.484</v>
      </c>
      <c r="B695" s="53">
        <v>12581.725700000001</v>
      </c>
      <c r="C695" s="53">
        <v>1149.6231</v>
      </c>
      <c r="D695" s="53">
        <v>574.81150000000002</v>
      </c>
      <c r="E695" s="53">
        <v>574.81150000000002</v>
      </c>
      <c r="F695" s="53">
        <v>2299.2462</v>
      </c>
      <c r="G695" s="53">
        <v>1149.6231</v>
      </c>
      <c r="H695" s="53">
        <v>1149.6231</v>
      </c>
      <c r="I695" s="53">
        <v>2299.2462</v>
      </c>
      <c r="J695" s="53">
        <v>564.12350000000004</v>
      </c>
      <c r="K695" s="53">
        <v>1692.3705</v>
      </c>
      <c r="L695" s="53">
        <v>564.12350000000004</v>
      </c>
      <c r="M695" s="53">
        <v>564.12350000000004</v>
      </c>
      <c r="N695" s="3" t="s">
        <v>69</v>
      </c>
    </row>
    <row r="696" spans="1:14" x14ac:dyDescent="0.25">
      <c r="A696" s="51">
        <v>1.4850000000000001</v>
      </c>
      <c r="B696" s="53">
        <v>12587.9231</v>
      </c>
      <c r="C696" s="53">
        <v>1150.3978</v>
      </c>
      <c r="D696" s="53">
        <v>575.19889999999998</v>
      </c>
      <c r="E696" s="53">
        <v>575.19889999999998</v>
      </c>
      <c r="F696" s="53">
        <v>2300.7955000000002</v>
      </c>
      <c r="G696" s="53">
        <v>1150.3978</v>
      </c>
      <c r="H696" s="53">
        <v>1150.3978</v>
      </c>
      <c r="I696" s="53">
        <v>2300.7955000000002</v>
      </c>
      <c r="J696" s="53">
        <v>564.12350000000004</v>
      </c>
      <c r="K696" s="53">
        <v>1692.3705</v>
      </c>
      <c r="L696" s="53">
        <v>564.12350000000004</v>
      </c>
      <c r="M696" s="53">
        <v>564.12350000000004</v>
      </c>
      <c r="N696" s="3" t="s">
        <v>69</v>
      </c>
    </row>
    <row r="697" spans="1:14" x14ac:dyDescent="0.25">
      <c r="A697" s="51">
        <v>1.486</v>
      </c>
      <c r="B697" s="53">
        <v>12594.1206</v>
      </c>
      <c r="C697" s="53">
        <v>1151.1723999999999</v>
      </c>
      <c r="D697" s="53">
        <v>575.58619999999996</v>
      </c>
      <c r="E697" s="53">
        <v>575.58619999999996</v>
      </c>
      <c r="F697" s="53">
        <v>2302.3449000000001</v>
      </c>
      <c r="G697" s="53">
        <v>1151.1723999999999</v>
      </c>
      <c r="H697" s="53">
        <v>1151.1723999999999</v>
      </c>
      <c r="I697" s="53">
        <v>2302.3449000000001</v>
      </c>
      <c r="J697" s="53">
        <v>564.12350000000004</v>
      </c>
      <c r="K697" s="53">
        <v>1692.3705</v>
      </c>
      <c r="L697" s="53">
        <v>564.12350000000004</v>
      </c>
      <c r="M697" s="53">
        <v>564.12350000000004</v>
      </c>
      <c r="N697" s="3" t="s">
        <v>69</v>
      </c>
    </row>
    <row r="698" spans="1:14" x14ac:dyDescent="0.25">
      <c r="A698" s="51">
        <v>1.4870000000000001</v>
      </c>
      <c r="B698" s="53">
        <v>12600.317999999999</v>
      </c>
      <c r="C698" s="53">
        <v>1151.9471000000001</v>
      </c>
      <c r="D698" s="53">
        <v>575.97360000000003</v>
      </c>
      <c r="E698" s="53">
        <v>575.97360000000003</v>
      </c>
      <c r="F698" s="53">
        <v>2303.8942999999999</v>
      </c>
      <c r="G698" s="53">
        <v>1151.9471000000001</v>
      </c>
      <c r="H698" s="53">
        <v>1151.9471000000001</v>
      </c>
      <c r="I698" s="53">
        <v>2303.8942999999999</v>
      </c>
      <c r="J698" s="53">
        <v>564.12350000000004</v>
      </c>
      <c r="K698" s="53">
        <v>1692.3705</v>
      </c>
      <c r="L698" s="53">
        <v>564.12350000000004</v>
      </c>
      <c r="M698" s="53">
        <v>564.12350000000004</v>
      </c>
      <c r="N698" s="3" t="s">
        <v>69</v>
      </c>
    </row>
    <row r="699" spans="1:14" x14ac:dyDescent="0.25">
      <c r="A699" s="51">
        <v>1.488</v>
      </c>
      <c r="B699" s="53">
        <v>12606.5154</v>
      </c>
      <c r="C699" s="53">
        <v>1152.7218</v>
      </c>
      <c r="D699" s="53">
        <v>576.36090000000002</v>
      </c>
      <c r="E699" s="53">
        <v>576.36090000000002</v>
      </c>
      <c r="F699" s="53">
        <v>2305.4436000000001</v>
      </c>
      <c r="G699" s="53">
        <v>1152.7218</v>
      </c>
      <c r="H699" s="53">
        <v>1152.7218</v>
      </c>
      <c r="I699" s="53">
        <v>2305.4436000000001</v>
      </c>
      <c r="J699" s="53">
        <v>564.12350000000004</v>
      </c>
      <c r="K699" s="53">
        <v>1692.3705</v>
      </c>
      <c r="L699" s="53">
        <v>564.12350000000004</v>
      </c>
      <c r="M699" s="53">
        <v>564.12350000000004</v>
      </c>
      <c r="N699" s="3" t="s">
        <v>69</v>
      </c>
    </row>
    <row r="700" spans="1:14" x14ac:dyDescent="0.25">
      <c r="A700" s="51">
        <v>1.4890000000000001</v>
      </c>
      <c r="B700" s="53">
        <v>12612.7129</v>
      </c>
      <c r="C700" s="53">
        <v>1153.4965</v>
      </c>
      <c r="D700" s="53">
        <v>576.7482</v>
      </c>
      <c r="E700" s="53">
        <v>576.7482</v>
      </c>
      <c r="F700" s="53">
        <v>2306.9929999999999</v>
      </c>
      <c r="G700" s="53">
        <v>1153.4965</v>
      </c>
      <c r="H700" s="53">
        <v>1153.4965</v>
      </c>
      <c r="I700" s="53">
        <v>2306.9929999999999</v>
      </c>
      <c r="J700" s="53">
        <v>564.12350000000004</v>
      </c>
      <c r="K700" s="53">
        <v>1692.3705</v>
      </c>
      <c r="L700" s="53">
        <v>564.12350000000004</v>
      </c>
      <c r="M700" s="53">
        <v>564.12350000000004</v>
      </c>
      <c r="N700" s="3" t="s">
        <v>69</v>
      </c>
    </row>
    <row r="701" spans="1:14" x14ac:dyDescent="0.25">
      <c r="A701" s="51">
        <v>1.49</v>
      </c>
      <c r="B701" s="53">
        <v>12618.9103</v>
      </c>
      <c r="C701" s="53">
        <v>1154.2711999999999</v>
      </c>
      <c r="D701" s="53">
        <v>577.13559999999995</v>
      </c>
      <c r="E701" s="53">
        <v>577.13559999999995</v>
      </c>
      <c r="F701" s="53">
        <v>2308.5423000000001</v>
      </c>
      <c r="G701" s="53">
        <v>1154.2711999999999</v>
      </c>
      <c r="H701" s="53">
        <v>1154.2711999999999</v>
      </c>
      <c r="I701" s="53">
        <v>2308.5423000000001</v>
      </c>
      <c r="J701" s="53">
        <v>564.12350000000004</v>
      </c>
      <c r="K701" s="53">
        <v>1692.3705</v>
      </c>
      <c r="L701" s="53">
        <v>564.12350000000004</v>
      </c>
      <c r="M701" s="53">
        <v>564.12350000000004</v>
      </c>
      <c r="N701" s="3" t="s">
        <v>69</v>
      </c>
    </row>
    <row r="702" spans="1:14" x14ac:dyDescent="0.25">
      <c r="A702" s="51">
        <v>1.4910000000000001</v>
      </c>
      <c r="B702" s="53">
        <v>12625.1077</v>
      </c>
      <c r="C702" s="53">
        <v>1155.0458000000001</v>
      </c>
      <c r="D702" s="53">
        <v>577.52290000000005</v>
      </c>
      <c r="E702" s="53">
        <v>577.52290000000005</v>
      </c>
      <c r="F702" s="53">
        <v>2310.0916999999999</v>
      </c>
      <c r="G702" s="53">
        <v>1155.0458000000001</v>
      </c>
      <c r="H702" s="53">
        <v>1155.0458000000001</v>
      </c>
      <c r="I702" s="53">
        <v>2310.0916999999999</v>
      </c>
      <c r="J702" s="53">
        <v>564.12350000000004</v>
      </c>
      <c r="K702" s="53">
        <v>1692.3705</v>
      </c>
      <c r="L702" s="53">
        <v>564.12350000000004</v>
      </c>
      <c r="M702" s="53">
        <v>564.12350000000004</v>
      </c>
      <c r="N702" s="3" t="s">
        <v>69</v>
      </c>
    </row>
    <row r="703" spans="1:14" x14ac:dyDescent="0.25">
      <c r="A703" s="51">
        <v>1.492</v>
      </c>
      <c r="B703" s="53">
        <v>12631.3051</v>
      </c>
      <c r="C703" s="53">
        <v>1155.8205</v>
      </c>
      <c r="D703" s="53">
        <v>577.91030000000001</v>
      </c>
      <c r="E703" s="53">
        <v>577.91030000000001</v>
      </c>
      <c r="F703" s="53">
        <v>2311.6410000000001</v>
      </c>
      <c r="G703" s="53">
        <v>1155.8205</v>
      </c>
      <c r="H703" s="53">
        <v>1155.8205</v>
      </c>
      <c r="I703" s="53">
        <v>2311.6410000000001</v>
      </c>
      <c r="J703" s="53">
        <v>564.12350000000004</v>
      </c>
      <c r="K703" s="53">
        <v>1692.3705</v>
      </c>
      <c r="L703" s="53">
        <v>564.12350000000004</v>
      </c>
      <c r="M703" s="53">
        <v>564.12350000000004</v>
      </c>
      <c r="N703" s="3" t="s">
        <v>69</v>
      </c>
    </row>
    <row r="704" spans="1:14" x14ac:dyDescent="0.25">
      <c r="A704" s="51">
        <v>1.4930000000000001</v>
      </c>
      <c r="B704" s="53">
        <v>12637.5026</v>
      </c>
      <c r="C704" s="53">
        <v>1156.5952</v>
      </c>
      <c r="D704" s="53">
        <v>578.29759999999999</v>
      </c>
      <c r="E704" s="53">
        <v>578.29759999999999</v>
      </c>
      <c r="F704" s="53">
        <v>2313.1904</v>
      </c>
      <c r="G704" s="53">
        <v>1156.5952</v>
      </c>
      <c r="H704" s="53">
        <v>1156.5952</v>
      </c>
      <c r="I704" s="53">
        <v>2313.1904</v>
      </c>
      <c r="J704" s="53">
        <v>564.12350000000004</v>
      </c>
      <c r="K704" s="53">
        <v>1692.3705</v>
      </c>
      <c r="L704" s="53">
        <v>564.12350000000004</v>
      </c>
      <c r="M704" s="53">
        <v>564.12350000000004</v>
      </c>
      <c r="N704" s="3" t="s">
        <v>69</v>
      </c>
    </row>
    <row r="705" spans="1:14" x14ac:dyDescent="0.25">
      <c r="A705" s="51">
        <v>1.494</v>
      </c>
      <c r="B705" s="53">
        <v>12643.7</v>
      </c>
      <c r="C705" s="53">
        <v>1157.3698999999999</v>
      </c>
      <c r="D705" s="53">
        <v>578.68489999999997</v>
      </c>
      <c r="E705" s="53">
        <v>578.68489999999997</v>
      </c>
      <c r="F705" s="53">
        <v>2314.7397999999998</v>
      </c>
      <c r="G705" s="53">
        <v>1157.3698999999999</v>
      </c>
      <c r="H705" s="53">
        <v>1157.3698999999999</v>
      </c>
      <c r="I705" s="53">
        <v>2314.7397999999998</v>
      </c>
      <c r="J705" s="53">
        <v>564.12350000000004</v>
      </c>
      <c r="K705" s="53">
        <v>1692.3705</v>
      </c>
      <c r="L705" s="53">
        <v>564.12350000000004</v>
      </c>
      <c r="M705" s="53">
        <v>564.12350000000004</v>
      </c>
      <c r="N705" s="3" t="s">
        <v>69</v>
      </c>
    </row>
    <row r="706" spans="1:14" x14ac:dyDescent="0.25">
      <c r="A706" s="51">
        <v>1.4950000000000001</v>
      </c>
      <c r="B706" s="53">
        <v>12649.8974</v>
      </c>
      <c r="C706" s="53">
        <v>1158.1446000000001</v>
      </c>
      <c r="D706" s="53">
        <v>579.07230000000004</v>
      </c>
      <c r="E706" s="53">
        <v>579.07230000000004</v>
      </c>
      <c r="F706" s="53">
        <v>2316.2891</v>
      </c>
      <c r="G706" s="53">
        <v>1158.1446000000001</v>
      </c>
      <c r="H706" s="53">
        <v>1158.1446000000001</v>
      </c>
      <c r="I706" s="53">
        <v>2316.2891</v>
      </c>
      <c r="J706" s="53">
        <v>564.12350000000004</v>
      </c>
      <c r="K706" s="53">
        <v>1692.3705</v>
      </c>
      <c r="L706" s="53">
        <v>564.12350000000004</v>
      </c>
      <c r="M706" s="53">
        <v>564.12350000000004</v>
      </c>
      <c r="N706" s="3" t="s">
        <v>69</v>
      </c>
    </row>
    <row r="707" spans="1:14" x14ac:dyDescent="0.25">
      <c r="A707" s="51">
        <v>1.496</v>
      </c>
      <c r="B707" s="53">
        <v>12656.0949</v>
      </c>
      <c r="C707" s="53">
        <v>1158.9192</v>
      </c>
      <c r="D707" s="53">
        <v>579.45960000000002</v>
      </c>
      <c r="E707" s="53">
        <v>579.45960000000002</v>
      </c>
      <c r="F707" s="53">
        <v>2317.8384999999998</v>
      </c>
      <c r="G707" s="53">
        <v>1158.9192</v>
      </c>
      <c r="H707" s="53">
        <v>1158.9192</v>
      </c>
      <c r="I707" s="53">
        <v>2317.8384999999998</v>
      </c>
      <c r="J707" s="53">
        <v>564.12350000000004</v>
      </c>
      <c r="K707" s="53">
        <v>1692.3705</v>
      </c>
      <c r="L707" s="53">
        <v>564.12350000000004</v>
      </c>
      <c r="M707" s="53">
        <v>564.12350000000004</v>
      </c>
      <c r="N707" s="3" t="s">
        <v>69</v>
      </c>
    </row>
    <row r="708" spans="1:14" x14ac:dyDescent="0.25">
      <c r="A708" s="51">
        <v>1.4970000000000001</v>
      </c>
      <c r="B708" s="53">
        <v>12662.292299999999</v>
      </c>
      <c r="C708" s="53">
        <v>1159.6939</v>
      </c>
      <c r="D708" s="53">
        <v>579.84699999999998</v>
      </c>
      <c r="E708" s="53">
        <v>579.84699999999998</v>
      </c>
      <c r="F708" s="53">
        <v>2319.3878</v>
      </c>
      <c r="G708" s="53">
        <v>1159.6939</v>
      </c>
      <c r="H708" s="53">
        <v>1159.6939</v>
      </c>
      <c r="I708" s="53">
        <v>2319.3878</v>
      </c>
      <c r="J708" s="53">
        <v>564.12350000000004</v>
      </c>
      <c r="K708" s="53">
        <v>1692.3705</v>
      </c>
      <c r="L708" s="53">
        <v>564.12350000000004</v>
      </c>
      <c r="M708" s="53">
        <v>564.12350000000004</v>
      </c>
      <c r="N708" s="3" t="s">
        <v>69</v>
      </c>
    </row>
    <row r="709" spans="1:14" x14ac:dyDescent="0.25">
      <c r="A709" s="51">
        <v>1.498</v>
      </c>
      <c r="B709" s="53">
        <v>12668.4897</v>
      </c>
      <c r="C709" s="53">
        <v>1160.4685999999999</v>
      </c>
      <c r="D709" s="53">
        <v>580.23429999999996</v>
      </c>
      <c r="E709" s="53">
        <v>580.23429999999996</v>
      </c>
      <c r="F709" s="53">
        <v>2320.9371999999998</v>
      </c>
      <c r="G709" s="53">
        <v>1160.4685999999999</v>
      </c>
      <c r="H709" s="53">
        <v>1160.4685999999999</v>
      </c>
      <c r="I709" s="53">
        <v>2320.9371999999998</v>
      </c>
      <c r="J709" s="53">
        <v>564.12350000000004</v>
      </c>
      <c r="K709" s="53">
        <v>1692.3705</v>
      </c>
      <c r="L709" s="53">
        <v>564.12350000000004</v>
      </c>
      <c r="M709" s="53">
        <v>564.12350000000004</v>
      </c>
      <c r="N709" s="3" t="s">
        <v>69</v>
      </c>
    </row>
    <row r="710" spans="1:14" x14ac:dyDescent="0.25">
      <c r="A710" s="51">
        <v>1.4990000000000001</v>
      </c>
      <c r="B710" s="53">
        <v>12674.687099999999</v>
      </c>
      <c r="C710" s="53">
        <v>1161.2433000000001</v>
      </c>
      <c r="D710" s="53">
        <v>580.62159999999994</v>
      </c>
      <c r="E710" s="53">
        <v>580.62159999999994</v>
      </c>
      <c r="F710" s="53">
        <v>2322.4865</v>
      </c>
      <c r="G710" s="53">
        <v>1161.2433000000001</v>
      </c>
      <c r="H710" s="53">
        <v>1161.2433000000001</v>
      </c>
      <c r="I710" s="53">
        <v>2322.4865</v>
      </c>
      <c r="J710" s="53">
        <v>564.12350000000004</v>
      </c>
      <c r="K710" s="53">
        <v>1692.3705</v>
      </c>
      <c r="L710" s="53">
        <v>564.12350000000004</v>
      </c>
      <c r="M710" s="53">
        <v>564.12350000000004</v>
      </c>
      <c r="N710" s="3" t="s">
        <v>69</v>
      </c>
    </row>
    <row r="711" spans="1:14" x14ac:dyDescent="0.25">
      <c r="A711" s="51">
        <v>1.5</v>
      </c>
      <c r="B711" s="53">
        <v>12739.350899999999</v>
      </c>
      <c r="C711" s="53">
        <v>1169.3262</v>
      </c>
      <c r="D711" s="53">
        <v>584.66309999999999</v>
      </c>
      <c r="E711" s="53">
        <v>584.66309999999999</v>
      </c>
      <c r="F711" s="53">
        <v>2338.6525000000001</v>
      </c>
      <c r="G711" s="53">
        <v>1169.3262</v>
      </c>
      <c r="H711" s="53">
        <v>1169.3262</v>
      </c>
      <c r="I711" s="53">
        <v>2338.6525000000001</v>
      </c>
      <c r="J711" s="53">
        <v>564.12350000000004</v>
      </c>
      <c r="K711" s="53">
        <v>1692.3705</v>
      </c>
      <c r="L711" s="53">
        <v>564.12350000000004</v>
      </c>
      <c r="M711" s="53">
        <v>564.12350000000004</v>
      </c>
      <c r="N711" s="3" t="s">
        <v>69</v>
      </c>
    </row>
  </sheetData>
  <conditionalFormatting sqref="N6:N711">
    <cfRule type="cellIs" dxfId="71" priority="1" operator="equal">
      <formula>"Erro"</formula>
    </cfRule>
    <cfRule type="cellIs" dxfId="70" priority="2" operator="equal">
      <formula>"OK"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C9253-2082-4D03-A737-216923CABE22}">
  <sheetPr codeName="Planilha19"/>
  <dimension ref="A1:N711"/>
  <sheetViews>
    <sheetView showGridLines="0" workbookViewId="0">
      <pane ySplit="5" topLeftCell="A6" activePane="bottomLeft" state="frozen"/>
      <selection pane="bottomLeft" activeCell="D7" sqref="D7"/>
    </sheetView>
  </sheetViews>
  <sheetFormatPr defaultColWidth="13.85546875" defaultRowHeight="15" x14ac:dyDescent="0.25"/>
  <cols>
    <col min="1" max="1" width="16.28515625" style="1" bestFit="1" customWidth="1"/>
    <col min="2" max="2" width="12.85546875" style="1" bestFit="1" customWidth="1"/>
    <col min="3" max="3" width="28.28515625" style="1" bestFit="1" customWidth="1"/>
    <col min="4" max="4" width="27.85546875" style="1" bestFit="1" customWidth="1"/>
    <col min="5" max="5" width="26.5703125" style="1" bestFit="1" customWidth="1"/>
    <col min="6" max="6" width="28.5703125" style="1" bestFit="1" customWidth="1"/>
    <col min="7" max="7" width="28.42578125" style="1" bestFit="1" customWidth="1"/>
    <col min="8" max="8" width="16" style="1" bestFit="1" customWidth="1"/>
    <col min="9" max="9" width="16.140625" style="1" bestFit="1" customWidth="1"/>
    <col min="10" max="10" width="23.140625" style="1" bestFit="1" customWidth="1"/>
    <col min="11" max="11" width="24.7109375" style="1" bestFit="1" customWidth="1"/>
    <col min="12" max="12" width="17" style="1" bestFit="1" customWidth="1"/>
    <col min="13" max="13" width="20.85546875" style="1" bestFit="1" customWidth="1"/>
    <col min="14" max="14" width="10.85546875" style="1" bestFit="1" customWidth="1"/>
    <col min="15" max="16384" width="13.85546875" style="1"/>
  </cols>
  <sheetData>
    <row r="1" spans="1:14" ht="15.75" x14ac:dyDescent="0.25">
      <c r="A1" s="88" t="s">
        <v>290</v>
      </c>
    </row>
    <row r="2" spans="1:14" x14ac:dyDescent="0.25">
      <c r="A2" s="78" t="str" cm="1">
        <f t="array" ref="A2" xml:space="preserve"> "Tabela de valores base e pesos para ano fiscal CSL Behring " &amp; Datas[AnoMes-Fiscal]</f>
        <v>Tabela de valores base e pesos para ano fiscal CSL Behring 2020/2021 (01-Jul)</v>
      </c>
    </row>
    <row r="4" spans="1:14" x14ac:dyDescent="0.25">
      <c r="A4" s="86" t="s">
        <v>291</v>
      </c>
      <c r="B4" s="87">
        <f>VLOOKUP(1,Valores_Representantes_ESP[],2,0)</f>
        <v>3760.8233</v>
      </c>
      <c r="C4" s="87">
        <f>VLOOKUP(1,Valores_Representantes_ESP[],3,0)</f>
        <v>188.0412</v>
      </c>
      <c r="D4" s="87">
        <f>VLOOKUP(1,Valores_Representantes_ESP[],4,0)</f>
        <v>0</v>
      </c>
      <c r="E4" s="87">
        <f>VLOOKUP(1,Valores_Representantes_ESP[],5,0)</f>
        <v>0</v>
      </c>
      <c r="F4" s="87">
        <f>VLOOKUP(1,Valores_Representantes_ESP[],6,0)</f>
        <v>564.12350000000004</v>
      </c>
      <c r="G4" s="87">
        <f>VLOOKUP(1,Valores_Representantes_ESP[],7,0)</f>
        <v>188.0412</v>
      </c>
      <c r="H4" s="87">
        <f>VLOOKUP(1,Valores_Representantes_ESP[],8,0)</f>
        <v>188.0412</v>
      </c>
      <c r="I4" s="87">
        <f>VLOOKUP(1,Valores_Representantes_ESP[],9,0)</f>
        <v>376.08229999999998</v>
      </c>
      <c r="J4" s="87">
        <f>VLOOKUP(1,Valores_Representantes_ESP[],10,0)</f>
        <v>376.08229999999998</v>
      </c>
      <c r="K4" s="87">
        <f>VLOOKUP(1,Valores_Representantes_ESP[],11,0)</f>
        <v>1128.2470000000001</v>
      </c>
      <c r="L4" s="87">
        <f>VLOOKUP(1,Valores_Representantes_ESP[],12,0)</f>
        <v>376.08229999999998</v>
      </c>
      <c r="M4" s="87">
        <f>VLOOKUP(1,Valores_Representantes_ESP[],13,0)</f>
        <v>376.08229999999998</v>
      </c>
    </row>
    <row r="5" spans="1:14" x14ac:dyDescent="0.25">
      <c r="A5" s="1" t="s">
        <v>55</v>
      </c>
      <c r="B5" s="1" t="s">
        <v>56</v>
      </c>
      <c r="C5" s="1" t="s">
        <v>57</v>
      </c>
      <c r="D5" s="1" t="s">
        <v>70</v>
      </c>
      <c r="E5" s="1" t="s">
        <v>71</v>
      </c>
      <c r="F5" s="1" t="s">
        <v>72</v>
      </c>
      <c r="G5" s="1" t="s">
        <v>61</v>
      </c>
      <c r="H5" s="1" t="s">
        <v>62</v>
      </c>
      <c r="I5" s="1" t="s">
        <v>63</v>
      </c>
      <c r="J5" s="1" t="s">
        <v>64</v>
      </c>
      <c r="K5" s="1" t="s">
        <v>65</v>
      </c>
      <c r="L5" s="1" t="s">
        <v>66</v>
      </c>
      <c r="M5" s="1" t="s">
        <v>67</v>
      </c>
      <c r="N5" s="2" t="s">
        <v>68</v>
      </c>
    </row>
    <row r="6" spans="1:14" x14ac:dyDescent="0.25">
      <c r="A6" s="51">
        <v>0.79500000000000004</v>
      </c>
      <c r="B6" s="52">
        <v>1504.3293000000001</v>
      </c>
      <c r="C6" s="52">
        <v>75.216499999999996</v>
      </c>
      <c r="D6" s="52">
        <v>0</v>
      </c>
      <c r="E6" s="52">
        <v>0</v>
      </c>
      <c r="F6" s="52">
        <v>225.64940000000001</v>
      </c>
      <c r="G6" s="52">
        <v>75.216499999999996</v>
      </c>
      <c r="H6" s="52">
        <v>75.216499999999996</v>
      </c>
      <c r="I6" s="52">
        <v>150.43289999999999</v>
      </c>
      <c r="J6" s="52">
        <v>150.43289999999999</v>
      </c>
      <c r="K6" s="52">
        <v>451.29880000000003</v>
      </c>
      <c r="L6" s="52">
        <v>150.43289999999999</v>
      </c>
      <c r="M6" s="52">
        <v>150.43289999999999</v>
      </c>
      <c r="N6" s="5" t="s">
        <v>69</v>
      </c>
    </row>
    <row r="7" spans="1:14" x14ac:dyDescent="0.25">
      <c r="A7" s="51">
        <v>0.79600000000000004</v>
      </c>
      <c r="B7" s="52">
        <v>1504.3293000000001</v>
      </c>
      <c r="C7" s="52">
        <v>75.216499999999996</v>
      </c>
      <c r="D7" s="52">
        <v>0</v>
      </c>
      <c r="E7" s="52">
        <v>0</v>
      </c>
      <c r="F7" s="52">
        <v>225.64940000000001</v>
      </c>
      <c r="G7" s="52">
        <v>75.216499999999996</v>
      </c>
      <c r="H7" s="52">
        <v>75.216499999999996</v>
      </c>
      <c r="I7" s="52">
        <v>150.43289999999999</v>
      </c>
      <c r="J7" s="52">
        <v>150.43289999999999</v>
      </c>
      <c r="K7" s="52">
        <v>451.29880000000003</v>
      </c>
      <c r="L7" s="52">
        <v>150.43289999999999</v>
      </c>
      <c r="M7" s="52">
        <v>150.43289999999999</v>
      </c>
      <c r="N7" s="5" t="s">
        <v>69</v>
      </c>
    </row>
    <row r="8" spans="1:14" x14ac:dyDescent="0.25">
      <c r="A8" s="51">
        <v>0.79700000000000004</v>
      </c>
      <c r="B8" s="52">
        <v>1504.3293000000001</v>
      </c>
      <c r="C8" s="52">
        <v>75.216499999999996</v>
      </c>
      <c r="D8" s="52">
        <v>0</v>
      </c>
      <c r="E8" s="52">
        <v>0</v>
      </c>
      <c r="F8" s="52">
        <v>225.64940000000001</v>
      </c>
      <c r="G8" s="52">
        <v>75.216499999999996</v>
      </c>
      <c r="H8" s="52">
        <v>75.216499999999996</v>
      </c>
      <c r="I8" s="52">
        <v>150.43289999999999</v>
      </c>
      <c r="J8" s="52">
        <v>150.43289999999999</v>
      </c>
      <c r="K8" s="52">
        <v>451.29880000000003</v>
      </c>
      <c r="L8" s="52">
        <v>150.43289999999999</v>
      </c>
      <c r="M8" s="52">
        <v>150.43289999999999</v>
      </c>
      <c r="N8" s="5" t="s">
        <v>69</v>
      </c>
    </row>
    <row r="9" spans="1:14" x14ac:dyDescent="0.25">
      <c r="A9" s="51">
        <v>0.79800000000000004</v>
      </c>
      <c r="B9" s="52">
        <v>1504.3293000000001</v>
      </c>
      <c r="C9" s="52">
        <v>75.216499999999996</v>
      </c>
      <c r="D9" s="52">
        <v>0</v>
      </c>
      <c r="E9" s="52">
        <v>0</v>
      </c>
      <c r="F9" s="52">
        <v>225.64940000000001</v>
      </c>
      <c r="G9" s="52">
        <v>75.216499999999996</v>
      </c>
      <c r="H9" s="52">
        <v>75.216499999999996</v>
      </c>
      <c r="I9" s="52">
        <v>150.43289999999999</v>
      </c>
      <c r="J9" s="52">
        <v>150.43289999999999</v>
      </c>
      <c r="K9" s="52">
        <v>451.29880000000003</v>
      </c>
      <c r="L9" s="52">
        <v>150.43289999999999</v>
      </c>
      <c r="M9" s="52">
        <v>150.43289999999999</v>
      </c>
      <c r="N9" s="5" t="s">
        <v>69</v>
      </c>
    </row>
    <row r="10" spans="1:14" x14ac:dyDescent="0.25">
      <c r="A10" s="51">
        <v>0.79900000000000004</v>
      </c>
      <c r="B10" s="52">
        <v>1504.3293000000001</v>
      </c>
      <c r="C10" s="52">
        <v>75.216499999999996</v>
      </c>
      <c r="D10" s="52">
        <v>0</v>
      </c>
      <c r="E10" s="52">
        <v>0</v>
      </c>
      <c r="F10" s="52">
        <v>225.64940000000001</v>
      </c>
      <c r="G10" s="52">
        <v>75.216499999999996</v>
      </c>
      <c r="H10" s="52">
        <v>75.216499999999996</v>
      </c>
      <c r="I10" s="52">
        <v>150.43289999999999</v>
      </c>
      <c r="J10" s="52">
        <v>150.43289999999999</v>
      </c>
      <c r="K10" s="52">
        <v>451.29880000000003</v>
      </c>
      <c r="L10" s="52">
        <v>150.43289999999999</v>
      </c>
      <c r="M10" s="52">
        <v>150.43289999999999</v>
      </c>
      <c r="N10" s="5" t="s">
        <v>69</v>
      </c>
    </row>
    <row r="11" spans="1:14" x14ac:dyDescent="0.25">
      <c r="A11" s="51">
        <v>0.8</v>
      </c>
      <c r="B11" s="52">
        <v>1504.3293000000001</v>
      </c>
      <c r="C11" s="52">
        <v>75.216499999999996</v>
      </c>
      <c r="D11" s="52">
        <v>0</v>
      </c>
      <c r="E11" s="52">
        <v>0</v>
      </c>
      <c r="F11" s="52">
        <v>225.64940000000001</v>
      </c>
      <c r="G11" s="52">
        <v>75.216499999999996</v>
      </c>
      <c r="H11" s="52">
        <v>75.216499999999996</v>
      </c>
      <c r="I11" s="52">
        <v>150.43289999999999</v>
      </c>
      <c r="J11" s="52">
        <v>150.43289999999999</v>
      </c>
      <c r="K11" s="52">
        <v>451.29880000000003</v>
      </c>
      <c r="L11" s="52">
        <v>150.43289999999999</v>
      </c>
      <c r="M11" s="52">
        <v>150.43289999999999</v>
      </c>
      <c r="N11" s="5" t="s">
        <v>69</v>
      </c>
    </row>
    <row r="12" spans="1:14" x14ac:dyDescent="0.25">
      <c r="A12" s="51">
        <v>0.80100000000000005</v>
      </c>
      <c r="B12" s="52">
        <v>1506.2097000000001</v>
      </c>
      <c r="C12" s="52">
        <v>75.310500000000005</v>
      </c>
      <c r="D12" s="52">
        <v>0</v>
      </c>
      <c r="E12" s="52">
        <v>0</v>
      </c>
      <c r="F12" s="52">
        <v>225.9315</v>
      </c>
      <c r="G12" s="52">
        <v>75.310500000000005</v>
      </c>
      <c r="H12" s="52">
        <v>75.310500000000005</v>
      </c>
      <c r="I12" s="52">
        <v>150.62100000000001</v>
      </c>
      <c r="J12" s="52">
        <v>150.62100000000001</v>
      </c>
      <c r="K12" s="52">
        <v>451.86290000000002</v>
      </c>
      <c r="L12" s="52">
        <v>150.62100000000001</v>
      </c>
      <c r="M12" s="52">
        <v>150.62100000000001</v>
      </c>
      <c r="N12" s="5" t="s">
        <v>69</v>
      </c>
    </row>
    <row r="13" spans="1:14" x14ac:dyDescent="0.25">
      <c r="A13" s="51">
        <v>0.80200000000000005</v>
      </c>
      <c r="B13" s="52">
        <v>1508.0902000000001</v>
      </c>
      <c r="C13" s="52">
        <v>75.404499999999999</v>
      </c>
      <c r="D13" s="52">
        <v>0</v>
      </c>
      <c r="E13" s="52">
        <v>0</v>
      </c>
      <c r="F13" s="52">
        <v>226.21350000000001</v>
      </c>
      <c r="G13" s="52">
        <v>75.404499999999999</v>
      </c>
      <c r="H13" s="52">
        <v>75.404499999999999</v>
      </c>
      <c r="I13" s="52">
        <v>150.809</v>
      </c>
      <c r="J13" s="52">
        <v>150.809</v>
      </c>
      <c r="K13" s="52">
        <v>452.42700000000002</v>
      </c>
      <c r="L13" s="52">
        <v>150.809</v>
      </c>
      <c r="M13" s="52">
        <v>150.809</v>
      </c>
      <c r="N13" s="5" t="s">
        <v>69</v>
      </c>
    </row>
    <row r="14" spans="1:14" x14ac:dyDescent="0.25">
      <c r="A14" s="51">
        <v>0.80300000000000005</v>
      </c>
      <c r="B14" s="52">
        <v>1509.9706000000001</v>
      </c>
      <c r="C14" s="52">
        <v>75.498500000000007</v>
      </c>
      <c r="D14" s="52">
        <v>0</v>
      </c>
      <c r="E14" s="52">
        <v>0</v>
      </c>
      <c r="F14" s="52">
        <v>226.4956</v>
      </c>
      <c r="G14" s="52">
        <v>75.498500000000007</v>
      </c>
      <c r="H14" s="52">
        <v>75.498500000000007</v>
      </c>
      <c r="I14" s="52">
        <v>150.99709999999999</v>
      </c>
      <c r="J14" s="52">
        <v>150.99709999999999</v>
      </c>
      <c r="K14" s="52">
        <v>452.99119999999999</v>
      </c>
      <c r="L14" s="52">
        <v>150.99709999999999</v>
      </c>
      <c r="M14" s="52">
        <v>150.99709999999999</v>
      </c>
      <c r="N14" s="5" t="s">
        <v>69</v>
      </c>
    </row>
    <row r="15" spans="1:14" x14ac:dyDescent="0.25">
      <c r="A15" s="51">
        <v>0.80400000000000005</v>
      </c>
      <c r="B15" s="52">
        <v>1511.8510000000001</v>
      </c>
      <c r="C15" s="52">
        <v>75.592500000000001</v>
      </c>
      <c r="D15" s="52">
        <v>0</v>
      </c>
      <c r="E15" s="52">
        <v>0</v>
      </c>
      <c r="F15" s="52">
        <v>226.77760000000001</v>
      </c>
      <c r="G15" s="52">
        <v>75.592500000000001</v>
      </c>
      <c r="H15" s="52">
        <v>75.592500000000001</v>
      </c>
      <c r="I15" s="52">
        <v>151.18510000000001</v>
      </c>
      <c r="J15" s="52">
        <v>151.18510000000001</v>
      </c>
      <c r="K15" s="52">
        <v>453.55529999999999</v>
      </c>
      <c r="L15" s="52">
        <v>151.18510000000001</v>
      </c>
      <c r="M15" s="52">
        <v>151.18510000000001</v>
      </c>
      <c r="N15" s="5" t="s">
        <v>69</v>
      </c>
    </row>
    <row r="16" spans="1:14" x14ac:dyDescent="0.25">
      <c r="A16" s="51">
        <v>0.80500000000000005</v>
      </c>
      <c r="B16" s="52">
        <v>1513.7313999999999</v>
      </c>
      <c r="C16" s="52">
        <v>75.686599999999999</v>
      </c>
      <c r="D16" s="52">
        <v>0</v>
      </c>
      <c r="E16" s="52">
        <v>0</v>
      </c>
      <c r="F16" s="52">
        <v>227.05969999999999</v>
      </c>
      <c r="G16" s="52">
        <v>75.686599999999999</v>
      </c>
      <c r="H16" s="52">
        <v>75.686599999999999</v>
      </c>
      <c r="I16" s="52">
        <v>151.37309999999999</v>
      </c>
      <c r="J16" s="52">
        <v>151.37309999999999</v>
      </c>
      <c r="K16" s="52">
        <v>454.11939999999998</v>
      </c>
      <c r="L16" s="52">
        <v>151.37309999999999</v>
      </c>
      <c r="M16" s="52">
        <v>151.37309999999999</v>
      </c>
      <c r="N16" s="5" t="s">
        <v>69</v>
      </c>
    </row>
    <row r="17" spans="1:14" x14ac:dyDescent="0.25">
      <c r="A17" s="51">
        <v>0.80600000000000005</v>
      </c>
      <c r="B17" s="52">
        <v>1515.6117999999999</v>
      </c>
      <c r="C17" s="52">
        <v>75.780600000000007</v>
      </c>
      <c r="D17" s="52">
        <v>0</v>
      </c>
      <c r="E17" s="52">
        <v>0</v>
      </c>
      <c r="F17" s="52">
        <v>227.34180000000001</v>
      </c>
      <c r="G17" s="52">
        <v>75.780600000000007</v>
      </c>
      <c r="H17" s="52">
        <v>75.780600000000007</v>
      </c>
      <c r="I17" s="52">
        <v>151.56120000000001</v>
      </c>
      <c r="J17" s="52">
        <v>151.56120000000001</v>
      </c>
      <c r="K17" s="52">
        <v>454.68349999999998</v>
      </c>
      <c r="L17" s="52">
        <v>151.56120000000001</v>
      </c>
      <c r="M17" s="52">
        <v>151.56120000000001</v>
      </c>
      <c r="N17" s="5" t="s">
        <v>69</v>
      </c>
    </row>
    <row r="18" spans="1:14" x14ac:dyDescent="0.25">
      <c r="A18" s="51">
        <v>0.80700000000000005</v>
      </c>
      <c r="B18" s="52">
        <v>1517.4921999999999</v>
      </c>
      <c r="C18" s="52">
        <v>75.874600000000001</v>
      </c>
      <c r="D18" s="52">
        <v>0</v>
      </c>
      <c r="E18" s="52">
        <v>0</v>
      </c>
      <c r="F18" s="52">
        <v>227.62379999999999</v>
      </c>
      <c r="G18" s="52">
        <v>75.874600000000001</v>
      </c>
      <c r="H18" s="52">
        <v>75.874600000000001</v>
      </c>
      <c r="I18" s="52">
        <v>151.7492</v>
      </c>
      <c r="J18" s="52">
        <v>151.7492</v>
      </c>
      <c r="K18" s="52">
        <v>455.24770000000001</v>
      </c>
      <c r="L18" s="52">
        <v>151.7492</v>
      </c>
      <c r="M18" s="52">
        <v>151.7492</v>
      </c>
      <c r="N18" s="5" t="s">
        <v>69</v>
      </c>
    </row>
    <row r="19" spans="1:14" x14ac:dyDescent="0.25">
      <c r="A19" s="51">
        <v>0.80800000000000005</v>
      </c>
      <c r="B19" s="52">
        <v>1519.3725999999999</v>
      </c>
      <c r="C19" s="52">
        <v>75.968599999999995</v>
      </c>
      <c r="D19" s="52">
        <v>0</v>
      </c>
      <c r="E19" s="52">
        <v>0</v>
      </c>
      <c r="F19" s="52">
        <v>227.9059</v>
      </c>
      <c r="G19" s="52">
        <v>75.968599999999995</v>
      </c>
      <c r="H19" s="52">
        <v>75.968599999999995</v>
      </c>
      <c r="I19" s="52">
        <v>151.93729999999999</v>
      </c>
      <c r="J19" s="52">
        <v>151.93729999999999</v>
      </c>
      <c r="K19" s="52">
        <v>455.81180000000001</v>
      </c>
      <c r="L19" s="52">
        <v>151.93729999999999</v>
      </c>
      <c r="M19" s="52">
        <v>151.93729999999999</v>
      </c>
      <c r="N19" s="5" t="s">
        <v>69</v>
      </c>
    </row>
    <row r="20" spans="1:14" x14ac:dyDescent="0.25">
      <c r="A20" s="51">
        <v>0.80900000000000005</v>
      </c>
      <c r="B20" s="52">
        <v>1521.2529999999999</v>
      </c>
      <c r="C20" s="52">
        <v>76.062700000000007</v>
      </c>
      <c r="D20" s="52">
        <v>0</v>
      </c>
      <c r="E20" s="52">
        <v>0</v>
      </c>
      <c r="F20" s="52">
        <v>228.18799999999999</v>
      </c>
      <c r="G20" s="52">
        <v>76.062700000000007</v>
      </c>
      <c r="H20" s="52">
        <v>76.062700000000007</v>
      </c>
      <c r="I20" s="52">
        <v>152.12530000000001</v>
      </c>
      <c r="J20" s="52">
        <v>152.12530000000001</v>
      </c>
      <c r="K20" s="52">
        <v>456.3759</v>
      </c>
      <c r="L20" s="52">
        <v>152.12530000000001</v>
      </c>
      <c r="M20" s="52">
        <v>152.12530000000001</v>
      </c>
      <c r="N20" s="5" t="s">
        <v>69</v>
      </c>
    </row>
    <row r="21" spans="1:14" x14ac:dyDescent="0.25">
      <c r="A21" s="51">
        <v>0.81</v>
      </c>
      <c r="B21" s="52">
        <v>1523.1333999999999</v>
      </c>
      <c r="C21" s="52">
        <v>76.156700000000001</v>
      </c>
      <c r="D21" s="52">
        <v>0</v>
      </c>
      <c r="E21" s="52">
        <v>0</v>
      </c>
      <c r="F21" s="52">
        <v>228.47</v>
      </c>
      <c r="G21" s="52">
        <v>76.156700000000001</v>
      </c>
      <c r="H21" s="52">
        <v>76.156700000000001</v>
      </c>
      <c r="I21" s="52">
        <v>152.3133</v>
      </c>
      <c r="J21" s="52">
        <v>152.3133</v>
      </c>
      <c r="K21" s="52">
        <v>456.94</v>
      </c>
      <c r="L21" s="52">
        <v>152.3133</v>
      </c>
      <c r="M21" s="52">
        <v>152.3133</v>
      </c>
      <c r="N21" s="5" t="s">
        <v>69</v>
      </c>
    </row>
    <row r="22" spans="1:14" x14ac:dyDescent="0.25">
      <c r="A22" s="51">
        <v>0.81100000000000005</v>
      </c>
      <c r="B22" s="52">
        <v>1525.0138999999999</v>
      </c>
      <c r="C22" s="52">
        <v>76.250699999999995</v>
      </c>
      <c r="D22" s="52">
        <v>0</v>
      </c>
      <c r="E22" s="52">
        <v>0</v>
      </c>
      <c r="F22" s="52">
        <v>228.75210000000001</v>
      </c>
      <c r="G22" s="52">
        <v>76.250699999999995</v>
      </c>
      <c r="H22" s="52">
        <v>76.250699999999995</v>
      </c>
      <c r="I22" s="52">
        <v>152.50139999999999</v>
      </c>
      <c r="J22" s="52">
        <v>152.50139999999999</v>
      </c>
      <c r="K22" s="52">
        <v>457.50420000000003</v>
      </c>
      <c r="L22" s="52">
        <v>152.50139999999999</v>
      </c>
      <c r="M22" s="52">
        <v>152.50139999999999</v>
      </c>
      <c r="N22" s="5" t="s">
        <v>69</v>
      </c>
    </row>
    <row r="23" spans="1:14" x14ac:dyDescent="0.25">
      <c r="A23" s="51">
        <v>0.81200000000000006</v>
      </c>
      <c r="B23" s="52">
        <v>1526.8942999999999</v>
      </c>
      <c r="C23" s="52">
        <v>76.344700000000003</v>
      </c>
      <c r="D23" s="52">
        <v>0</v>
      </c>
      <c r="E23" s="52">
        <v>0</v>
      </c>
      <c r="F23" s="52">
        <v>229.0341</v>
      </c>
      <c r="G23" s="52">
        <v>76.344700000000003</v>
      </c>
      <c r="H23" s="52">
        <v>76.344700000000003</v>
      </c>
      <c r="I23" s="52">
        <v>152.68940000000001</v>
      </c>
      <c r="J23" s="52">
        <v>152.68940000000001</v>
      </c>
      <c r="K23" s="52">
        <v>458.06830000000002</v>
      </c>
      <c r="L23" s="52">
        <v>152.68940000000001</v>
      </c>
      <c r="M23" s="52">
        <v>152.68940000000001</v>
      </c>
      <c r="N23" s="5" t="s">
        <v>69</v>
      </c>
    </row>
    <row r="24" spans="1:14" x14ac:dyDescent="0.25">
      <c r="A24" s="51">
        <v>0.81299999999999994</v>
      </c>
      <c r="B24" s="52">
        <v>1528.7746999999999</v>
      </c>
      <c r="C24" s="52">
        <v>76.438699999999997</v>
      </c>
      <c r="D24" s="52">
        <v>0</v>
      </c>
      <c r="E24" s="52">
        <v>0</v>
      </c>
      <c r="F24" s="52">
        <v>229.31620000000001</v>
      </c>
      <c r="G24" s="52">
        <v>76.438699999999997</v>
      </c>
      <c r="H24" s="52">
        <v>76.438699999999997</v>
      </c>
      <c r="I24" s="52">
        <v>152.8775</v>
      </c>
      <c r="J24" s="52">
        <v>152.8775</v>
      </c>
      <c r="K24" s="52">
        <v>458.63240000000002</v>
      </c>
      <c r="L24" s="52">
        <v>152.8775</v>
      </c>
      <c r="M24" s="52">
        <v>152.8775</v>
      </c>
      <c r="N24" s="5" t="s">
        <v>69</v>
      </c>
    </row>
    <row r="25" spans="1:14" x14ac:dyDescent="0.25">
      <c r="A25" s="51">
        <v>0.81399999999999995</v>
      </c>
      <c r="B25" s="52">
        <v>1530.6550999999999</v>
      </c>
      <c r="C25" s="52">
        <v>76.532799999999995</v>
      </c>
      <c r="D25" s="52">
        <v>0</v>
      </c>
      <c r="E25" s="52">
        <v>0</v>
      </c>
      <c r="F25" s="52">
        <v>229.59829999999999</v>
      </c>
      <c r="G25" s="52">
        <v>76.532799999999995</v>
      </c>
      <c r="H25" s="52">
        <v>76.532799999999995</v>
      </c>
      <c r="I25" s="52">
        <v>153.06549999999999</v>
      </c>
      <c r="J25" s="52">
        <v>153.06549999999999</v>
      </c>
      <c r="K25" s="52">
        <v>459.19650000000001</v>
      </c>
      <c r="L25" s="52">
        <v>153.06549999999999</v>
      </c>
      <c r="M25" s="52">
        <v>153.06549999999999</v>
      </c>
      <c r="N25" s="5" t="s">
        <v>69</v>
      </c>
    </row>
    <row r="26" spans="1:14" x14ac:dyDescent="0.25">
      <c r="A26" s="51">
        <v>0.81499999999999995</v>
      </c>
      <c r="B26" s="52">
        <v>1532.5355</v>
      </c>
      <c r="C26" s="52">
        <v>76.626800000000003</v>
      </c>
      <c r="D26" s="52">
        <v>0</v>
      </c>
      <c r="E26" s="52">
        <v>0</v>
      </c>
      <c r="F26" s="52">
        <v>229.88030000000001</v>
      </c>
      <c r="G26" s="52">
        <v>76.626800000000003</v>
      </c>
      <c r="H26" s="52">
        <v>76.626800000000003</v>
      </c>
      <c r="I26" s="52">
        <v>153.25360000000001</v>
      </c>
      <c r="J26" s="52">
        <v>153.25360000000001</v>
      </c>
      <c r="K26" s="52">
        <v>459.76069999999999</v>
      </c>
      <c r="L26" s="52">
        <v>153.25360000000001</v>
      </c>
      <c r="M26" s="52">
        <v>153.25360000000001</v>
      </c>
      <c r="N26" s="5" t="s">
        <v>69</v>
      </c>
    </row>
    <row r="27" spans="1:14" x14ac:dyDescent="0.25">
      <c r="A27" s="51">
        <v>0.81599999999999995</v>
      </c>
      <c r="B27" s="52">
        <v>1534.4159</v>
      </c>
      <c r="C27" s="52">
        <v>76.720799999999997</v>
      </c>
      <c r="D27" s="52">
        <v>0</v>
      </c>
      <c r="E27" s="52">
        <v>0</v>
      </c>
      <c r="F27" s="52">
        <v>230.16239999999999</v>
      </c>
      <c r="G27" s="52">
        <v>76.720799999999997</v>
      </c>
      <c r="H27" s="52">
        <v>76.720799999999997</v>
      </c>
      <c r="I27" s="52">
        <v>153.44159999999999</v>
      </c>
      <c r="J27" s="52">
        <v>153.44159999999999</v>
      </c>
      <c r="K27" s="52">
        <v>460.32479999999998</v>
      </c>
      <c r="L27" s="52">
        <v>153.44159999999999</v>
      </c>
      <c r="M27" s="52">
        <v>153.44159999999999</v>
      </c>
      <c r="N27" s="5" t="s">
        <v>69</v>
      </c>
    </row>
    <row r="28" spans="1:14" x14ac:dyDescent="0.25">
      <c r="A28" s="51">
        <v>0.81699999999999995</v>
      </c>
      <c r="B28" s="52">
        <v>1536.2963</v>
      </c>
      <c r="C28" s="52">
        <v>76.814800000000005</v>
      </c>
      <c r="D28" s="52">
        <v>0</v>
      </c>
      <c r="E28" s="52">
        <v>0</v>
      </c>
      <c r="F28" s="52">
        <v>230.4444</v>
      </c>
      <c r="G28" s="52">
        <v>76.814800000000005</v>
      </c>
      <c r="H28" s="52">
        <v>76.814800000000005</v>
      </c>
      <c r="I28" s="52">
        <v>153.62960000000001</v>
      </c>
      <c r="J28" s="52">
        <v>153.62960000000001</v>
      </c>
      <c r="K28" s="52">
        <v>460.88889999999998</v>
      </c>
      <c r="L28" s="52">
        <v>153.62960000000001</v>
      </c>
      <c r="M28" s="52">
        <v>153.62960000000001</v>
      </c>
      <c r="N28" s="5" t="s">
        <v>69</v>
      </c>
    </row>
    <row r="29" spans="1:14" x14ac:dyDescent="0.25">
      <c r="A29" s="51">
        <v>0.81799999999999995</v>
      </c>
      <c r="B29" s="52">
        <v>1538.1767</v>
      </c>
      <c r="C29" s="52">
        <v>76.908799999999999</v>
      </c>
      <c r="D29" s="52">
        <v>0</v>
      </c>
      <c r="E29" s="52">
        <v>0</v>
      </c>
      <c r="F29" s="52">
        <v>230.72649999999999</v>
      </c>
      <c r="G29" s="52">
        <v>76.908799999999999</v>
      </c>
      <c r="H29" s="52">
        <v>76.908799999999999</v>
      </c>
      <c r="I29" s="52">
        <v>153.8177</v>
      </c>
      <c r="J29" s="52">
        <v>153.8177</v>
      </c>
      <c r="K29" s="52">
        <v>461.45299999999997</v>
      </c>
      <c r="L29" s="52">
        <v>153.8177</v>
      </c>
      <c r="M29" s="52">
        <v>153.8177</v>
      </c>
      <c r="N29" s="5" t="s">
        <v>69</v>
      </c>
    </row>
    <row r="30" spans="1:14" x14ac:dyDescent="0.25">
      <c r="A30" s="51">
        <v>0.81899999999999995</v>
      </c>
      <c r="B30" s="52">
        <v>1540.0572</v>
      </c>
      <c r="C30" s="52">
        <v>77.002899999999997</v>
      </c>
      <c r="D30" s="52">
        <v>0</v>
      </c>
      <c r="E30" s="52">
        <v>0</v>
      </c>
      <c r="F30" s="52">
        <v>231.0086</v>
      </c>
      <c r="G30" s="52">
        <v>77.002899999999997</v>
      </c>
      <c r="H30" s="52">
        <v>77.002899999999997</v>
      </c>
      <c r="I30" s="52">
        <v>154.00569999999999</v>
      </c>
      <c r="J30" s="52">
        <v>154.00569999999999</v>
      </c>
      <c r="K30" s="52">
        <v>462.01710000000003</v>
      </c>
      <c r="L30" s="52">
        <v>154.00569999999999</v>
      </c>
      <c r="M30" s="52">
        <v>154.00569999999999</v>
      </c>
      <c r="N30" s="5" t="s">
        <v>69</v>
      </c>
    </row>
    <row r="31" spans="1:14" x14ac:dyDescent="0.25">
      <c r="A31" s="51">
        <v>0.82</v>
      </c>
      <c r="B31" s="52">
        <v>1541.9376</v>
      </c>
      <c r="C31" s="52">
        <v>77.096900000000005</v>
      </c>
      <c r="D31" s="52">
        <v>0</v>
      </c>
      <c r="E31" s="52">
        <v>0</v>
      </c>
      <c r="F31" s="52">
        <v>231.29060000000001</v>
      </c>
      <c r="G31" s="52">
        <v>77.096900000000005</v>
      </c>
      <c r="H31" s="52">
        <v>77.096900000000005</v>
      </c>
      <c r="I31" s="52">
        <v>154.19380000000001</v>
      </c>
      <c r="J31" s="52">
        <v>154.19380000000001</v>
      </c>
      <c r="K31" s="52">
        <v>462.5813</v>
      </c>
      <c r="L31" s="52">
        <v>154.19380000000001</v>
      </c>
      <c r="M31" s="52">
        <v>154.19380000000001</v>
      </c>
      <c r="N31" s="5" t="s">
        <v>69</v>
      </c>
    </row>
    <row r="32" spans="1:14" x14ac:dyDescent="0.25">
      <c r="A32" s="51">
        <v>0.82099999999999995</v>
      </c>
      <c r="B32" s="52">
        <v>1543.818</v>
      </c>
      <c r="C32" s="52">
        <v>77.190899999999999</v>
      </c>
      <c r="D32" s="52">
        <v>0</v>
      </c>
      <c r="E32" s="52">
        <v>0</v>
      </c>
      <c r="F32" s="52">
        <v>231.5727</v>
      </c>
      <c r="G32" s="52">
        <v>77.190899999999999</v>
      </c>
      <c r="H32" s="52">
        <v>77.190899999999999</v>
      </c>
      <c r="I32" s="52">
        <v>154.3818</v>
      </c>
      <c r="J32" s="52">
        <v>154.3818</v>
      </c>
      <c r="K32" s="52">
        <v>463.1454</v>
      </c>
      <c r="L32" s="52">
        <v>154.3818</v>
      </c>
      <c r="M32" s="52">
        <v>154.3818</v>
      </c>
      <c r="N32" s="5" t="s">
        <v>69</v>
      </c>
    </row>
    <row r="33" spans="1:14" x14ac:dyDescent="0.25">
      <c r="A33" s="51">
        <v>0.82199999999999995</v>
      </c>
      <c r="B33" s="52">
        <v>1545.6984</v>
      </c>
      <c r="C33" s="52">
        <v>77.284899999999993</v>
      </c>
      <c r="D33" s="52">
        <v>0</v>
      </c>
      <c r="E33" s="52">
        <v>0</v>
      </c>
      <c r="F33" s="52">
        <v>231.85480000000001</v>
      </c>
      <c r="G33" s="52">
        <v>77.284899999999993</v>
      </c>
      <c r="H33" s="52">
        <v>77.284899999999993</v>
      </c>
      <c r="I33" s="52">
        <v>154.56979999999999</v>
      </c>
      <c r="J33" s="52">
        <v>154.56979999999999</v>
      </c>
      <c r="K33" s="52">
        <v>463.70949999999999</v>
      </c>
      <c r="L33" s="52">
        <v>154.56979999999999</v>
      </c>
      <c r="M33" s="52">
        <v>154.56979999999999</v>
      </c>
      <c r="N33" s="5" t="s">
        <v>69</v>
      </c>
    </row>
    <row r="34" spans="1:14" x14ac:dyDescent="0.25">
      <c r="A34" s="51">
        <v>0.82299999999999995</v>
      </c>
      <c r="B34" s="52">
        <v>1547.5788</v>
      </c>
      <c r="C34" s="52">
        <v>77.378900000000002</v>
      </c>
      <c r="D34" s="52">
        <v>0</v>
      </c>
      <c r="E34" s="52">
        <v>0</v>
      </c>
      <c r="F34" s="52">
        <v>232.13679999999999</v>
      </c>
      <c r="G34" s="52">
        <v>77.378900000000002</v>
      </c>
      <c r="H34" s="52">
        <v>77.378900000000002</v>
      </c>
      <c r="I34" s="52">
        <v>154.75790000000001</v>
      </c>
      <c r="J34" s="52">
        <v>154.75790000000001</v>
      </c>
      <c r="K34" s="52">
        <v>464.27359999999999</v>
      </c>
      <c r="L34" s="52">
        <v>154.75790000000001</v>
      </c>
      <c r="M34" s="52">
        <v>154.75790000000001</v>
      </c>
      <c r="N34" s="5" t="s">
        <v>69</v>
      </c>
    </row>
    <row r="35" spans="1:14" x14ac:dyDescent="0.25">
      <c r="A35" s="51">
        <v>0.82399999999999995</v>
      </c>
      <c r="B35" s="52">
        <v>1549.4592</v>
      </c>
      <c r="C35" s="52">
        <v>77.472999999999999</v>
      </c>
      <c r="D35" s="52">
        <v>0</v>
      </c>
      <c r="E35" s="52">
        <v>0</v>
      </c>
      <c r="F35" s="52">
        <v>232.41890000000001</v>
      </c>
      <c r="G35" s="52">
        <v>77.472999999999999</v>
      </c>
      <c r="H35" s="52">
        <v>77.472999999999999</v>
      </c>
      <c r="I35" s="52">
        <v>154.94589999999999</v>
      </c>
      <c r="J35" s="52">
        <v>154.94589999999999</v>
      </c>
      <c r="K35" s="52">
        <v>464.83780000000002</v>
      </c>
      <c r="L35" s="52">
        <v>154.94589999999999</v>
      </c>
      <c r="M35" s="52">
        <v>154.94589999999999</v>
      </c>
      <c r="N35" s="5" t="s">
        <v>69</v>
      </c>
    </row>
    <row r="36" spans="1:14" x14ac:dyDescent="0.25">
      <c r="A36" s="51">
        <v>0.82499999999999996</v>
      </c>
      <c r="B36" s="52">
        <v>1551.3396</v>
      </c>
      <c r="C36" s="52">
        <v>77.566999999999993</v>
      </c>
      <c r="D36" s="52">
        <v>0</v>
      </c>
      <c r="E36" s="52">
        <v>0</v>
      </c>
      <c r="F36" s="52">
        <v>232.70089999999999</v>
      </c>
      <c r="G36" s="52">
        <v>77.566999999999993</v>
      </c>
      <c r="H36" s="52">
        <v>77.566999999999993</v>
      </c>
      <c r="I36" s="52">
        <v>155.13399999999999</v>
      </c>
      <c r="J36" s="52">
        <v>155.13399999999999</v>
      </c>
      <c r="K36" s="52">
        <v>465.40190000000001</v>
      </c>
      <c r="L36" s="52">
        <v>155.13399999999999</v>
      </c>
      <c r="M36" s="52">
        <v>155.13399999999999</v>
      </c>
      <c r="N36" s="5" t="s">
        <v>69</v>
      </c>
    </row>
    <row r="37" spans="1:14" x14ac:dyDescent="0.25">
      <c r="A37" s="51">
        <v>0.82599999999999996</v>
      </c>
      <c r="B37" s="52">
        <v>1553.22</v>
      </c>
      <c r="C37" s="52">
        <v>77.661000000000001</v>
      </c>
      <c r="D37" s="52">
        <v>0</v>
      </c>
      <c r="E37" s="52">
        <v>0</v>
      </c>
      <c r="F37" s="52">
        <v>232.983</v>
      </c>
      <c r="G37" s="52">
        <v>77.661000000000001</v>
      </c>
      <c r="H37" s="52">
        <v>77.661000000000001</v>
      </c>
      <c r="I37" s="52">
        <v>155.322</v>
      </c>
      <c r="J37" s="52">
        <v>155.322</v>
      </c>
      <c r="K37" s="52">
        <v>465.96600000000001</v>
      </c>
      <c r="L37" s="52">
        <v>155.322</v>
      </c>
      <c r="M37" s="52">
        <v>155.322</v>
      </c>
      <c r="N37" s="5" t="s">
        <v>69</v>
      </c>
    </row>
    <row r="38" spans="1:14" x14ac:dyDescent="0.25">
      <c r="A38" s="51">
        <v>0.82699999999999996</v>
      </c>
      <c r="B38" s="52">
        <v>1555.1004</v>
      </c>
      <c r="C38" s="52">
        <v>77.754999999999995</v>
      </c>
      <c r="D38" s="52">
        <v>0</v>
      </c>
      <c r="E38" s="52">
        <v>0</v>
      </c>
      <c r="F38" s="52">
        <v>233.26509999999999</v>
      </c>
      <c r="G38" s="52">
        <v>77.754999999999995</v>
      </c>
      <c r="H38" s="52">
        <v>77.754999999999995</v>
      </c>
      <c r="I38" s="52">
        <v>155.51</v>
      </c>
      <c r="J38" s="52">
        <v>155.51</v>
      </c>
      <c r="K38" s="52">
        <v>466.5301</v>
      </c>
      <c r="L38" s="52">
        <v>155.51</v>
      </c>
      <c r="M38" s="52">
        <v>155.51</v>
      </c>
      <c r="N38" s="5" t="s">
        <v>69</v>
      </c>
    </row>
    <row r="39" spans="1:14" x14ac:dyDescent="0.25">
      <c r="A39" s="51">
        <v>0.82799999999999996</v>
      </c>
      <c r="B39" s="52">
        <v>1556.9809</v>
      </c>
      <c r="C39" s="52">
        <v>77.849000000000004</v>
      </c>
      <c r="D39" s="52">
        <v>0</v>
      </c>
      <c r="E39" s="52">
        <v>0</v>
      </c>
      <c r="F39" s="52">
        <v>233.5471</v>
      </c>
      <c r="G39" s="52">
        <v>77.849000000000004</v>
      </c>
      <c r="H39" s="52">
        <v>77.849000000000004</v>
      </c>
      <c r="I39" s="52">
        <v>155.69810000000001</v>
      </c>
      <c r="J39" s="52">
        <v>155.69810000000001</v>
      </c>
      <c r="K39" s="52">
        <v>467.09429999999998</v>
      </c>
      <c r="L39" s="52">
        <v>155.69810000000001</v>
      </c>
      <c r="M39" s="52">
        <v>155.69810000000001</v>
      </c>
      <c r="N39" s="5" t="s">
        <v>69</v>
      </c>
    </row>
    <row r="40" spans="1:14" x14ac:dyDescent="0.25">
      <c r="A40" s="51">
        <v>0.82899999999999996</v>
      </c>
      <c r="B40" s="52">
        <v>1558.8613</v>
      </c>
      <c r="C40" s="52">
        <v>77.943100000000001</v>
      </c>
      <c r="D40" s="52">
        <v>0</v>
      </c>
      <c r="E40" s="52">
        <v>0</v>
      </c>
      <c r="F40" s="52">
        <v>233.82919999999999</v>
      </c>
      <c r="G40" s="52">
        <v>77.943100000000001</v>
      </c>
      <c r="H40" s="52">
        <v>77.943100000000001</v>
      </c>
      <c r="I40" s="52">
        <v>155.8861</v>
      </c>
      <c r="J40" s="52">
        <v>155.8861</v>
      </c>
      <c r="K40" s="52">
        <v>467.65839999999997</v>
      </c>
      <c r="L40" s="52">
        <v>155.8861</v>
      </c>
      <c r="M40" s="52">
        <v>155.8861</v>
      </c>
      <c r="N40" s="5" t="s">
        <v>69</v>
      </c>
    </row>
    <row r="41" spans="1:14" x14ac:dyDescent="0.25">
      <c r="A41" s="51">
        <v>0.83</v>
      </c>
      <c r="B41" s="52">
        <v>1560.7417</v>
      </c>
      <c r="C41" s="52">
        <v>78.037099999999995</v>
      </c>
      <c r="D41" s="52">
        <v>0</v>
      </c>
      <c r="E41" s="52">
        <v>0</v>
      </c>
      <c r="F41" s="52">
        <v>234.1113</v>
      </c>
      <c r="G41" s="52">
        <v>78.037099999999995</v>
      </c>
      <c r="H41" s="52">
        <v>78.037099999999995</v>
      </c>
      <c r="I41" s="52">
        <v>156.07419999999999</v>
      </c>
      <c r="J41" s="52">
        <v>156.07419999999999</v>
      </c>
      <c r="K41" s="52">
        <v>468.22250000000003</v>
      </c>
      <c r="L41" s="52">
        <v>156.07419999999999</v>
      </c>
      <c r="M41" s="52">
        <v>156.07419999999999</v>
      </c>
      <c r="N41" s="5" t="s">
        <v>69</v>
      </c>
    </row>
    <row r="42" spans="1:14" x14ac:dyDescent="0.25">
      <c r="A42" s="51">
        <v>0.83099999999999996</v>
      </c>
      <c r="B42" s="52">
        <v>1562.6221</v>
      </c>
      <c r="C42" s="52">
        <v>78.131100000000004</v>
      </c>
      <c r="D42" s="52">
        <v>0</v>
      </c>
      <c r="E42" s="52">
        <v>0</v>
      </c>
      <c r="F42" s="52">
        <v>234.39330000000001</v>
      </c>
      <c r="G42" s="52">
        <v>78.131100000000004</v>
      </c>
      <c r="H42" s="52">
        <v>78.131100000000004</v>
      </c>
      <c r="I42" s="52">
        <v>156.26220000000001</v>
      </c>
      <c r="J42" s="52">
        <v>156.26220000000001</v>
      </c>
      <c r="K42" s="52">
        <v>468.78660000000002</v>
      </c>
      <c r="L42" s="52">
        <v>156.26220000000001</v>
      </c>
      <c r="M42" s="52">
        <v>156.26220000000001</v>
      </c>
      <c r="N42" s="5" t="s">
        <v>69</v>
      </c>
    </row>
    <row r="43" spans="1:14" x14ac:dyDescent="0.25">
      <c r="A43" s="51">
        <v>0.83199999999999996</v>
      </c>
      <c r="B43" s="52">
        <v>1564.5025000000001</v>
      </c>
      <c r="C43" s="52">
        <v>78.225099999999998</v>
      </c>
      <c r="D43" s="52">
        <v>0</v>
      </c>
      <c r="E43" s="52">
        <v>0</v>
      </c>
      <c r="F43" s="52">
        <v>234.6754</v>
      </c>
      <c r="G43" s="52">
        <v>78.225099999999998</v>
      </c>
      <c r="H43" s="52">
        <v>78.225099999999998</v>
      </c>
      <c r="I43" s="52">
        <v>156.4503</v>
      </c>
      <c r="J43" s="52">
        <v>156.4503</v>
      </c>
      <c r="K43" s="52">
        <v>469.35079999999999</v>
      </c>
      <c r="L43" s="52">
        <v>156.4503</v>
      </c>
      <c r="M43" s="52">
        <v>156.4503</v>
      </c>
      <c r="N43" s="5" t="s">
        <v>69</v>
      </c>
    </row>
    <row r="44" spans="1:14" x14ac:dyDescent="0.25">
      <c r="A44" s="51">
        <v>0.83299999999999996</v>
      </c>
      <c r="B44" s="52">
        <v>1566.3829000000001</v>
      </c>
      <c r="C44" s="52">
        <v>78.319100000000006</v>
      </c>
      <c r="D44" s="52">
        <v>0</v>
      </c>
      <c r="E44" s="52">
        <v>0</v>
      </c>
      <c r="F44" s="52">
        <v>234.95740000000001</v>
      </c>
      <c r="G44" s="52">
        <v>78.319100000000006</v>
      </c>
      <c r="H44" s="52">
        <v>78.319100000000006</v>
      </c>
      <c r="I44" s="52">
        <v>156.63829999999999</v>
      </c>
      <c r="J44" s="52">
        <v>156.63829999999999</v>
      </c>
      <c r="K44" s="52">
        <v>469.91489999999999</v>
      </c>
      <c r="L44" s="52">
        <v>156.63829999999999</v>
      </c>
      <c r="M44" s="52">
        <v>156.63829999999999</v>
      </c>
      <c r="N44" s="5" t="s">
        <v>69</v>
      </c>
    </row>
    <row r="45" spans="1:14" x14ac:dyDescent="0.25">
      <c r="A45" s="51">
        <v>0.83399999999999996</v>
      </c>
      <c r="B45" s="52">
        <v>1568.2633000000001</v>
      </c>
      <c r="C45" s="52">
        <v>78.413200000000003</v>
      </c>
      <c r="D45" s="52">
        <v>0</v>
      </c>
      <c r="E45" s="52">
        <v>0</v>
      </c>
      <c r="F45" s="52">
        <v>235.23949999999999</v>
      </c>
      <c r="G45" s="52">
        <v>78.413200000000003</v>
      </c>
      <c r="H45" s="52">
        <v>78.413200000000003</v>
      </c>
      <c r="I45" s="52">
        <v>156.8263</v>
      </c>
      <c r="J45" s="52">
        <v>156.8263</v>
      </c>
      <c r="K45" s="52">
        <v>470.47899999999998</v>
      </c>
      <c r="L45" s="52">
        <v>156.8263</v>
      </c>
      <c r="M45" s="52">
        <v>156.8263</v>
      </c>
      <c r="N45" s="5" t="s">
        <v>69</v>
      </c>
    </row>
    <row r="46" spans="1:14" x14ac:dyDescent="0.25">
      <c r="A46" s="51">
        <v>0.83499999999999996</v>
      </c>
      <c r="B46" s="52">
        <v>1570.1437000000001</v>
      </c>
      <c r="C46" s="52">
        <v>78.507199999999997</v>
      </c>
      <c r="D46" s="52">
        <v>0</v>
      </c>
      <c r="E46" s="52">
        <v>0</v>
      </c>
      <c r="F46" s="52">
        <v>235.52160000000001</v>
      </c>
      <c r="G46" s="52">
        <v>78.507199999999997</v>
      </c>
      <c r="H46" s="52">
        <v>78.507199999999997</v>
      </c>
      <c r="I46" s="52">
        <v>157.01439999999999</v>
      </c>
      <c r="J46" s="52">
        <v>157.01439999999999</v>
      </c>
      <c r="K46" s="52">
        <v>471.04309999999998</v>
      </c>
      <c r="L46" s="52">
        <v>157.01439999999999</v>
      </c>
      <c r="M46" s="52">
        <v>157.01439999999999</v>
      </c>
      <c r="N46" s="5" t="s">
        <v>69</v>
      </c>
    </row>
    <row r="47" spans="1:14" x14ac:dyDescent="0.25">
      <c r="A47" s="51">
        <v>0.83599999999999997</v>
      </c>
      <c r="B47" s="52">
        <v>1572.0242000000001</v>
      </c>
      <c r="C47" s="52">
        <v>78.601200000000006</v>
      </c>
      <c r="D47" s="52">
        <v>0</v>
      </c>
      <c r="E47" s="52">
        <v>0</v>
      </c>
      <c r="F47" s="52">
        <v>235.80359999999999</v>
      </c>
      <c r="G47" s="52">
        <v>78.601200000000006</v>
      </c>
      <c r="H47" s="52">
        <v>78.601200000000006</v>
      </c>
      <c r="I47" s="52">
        <v>157.20240000000001</v>
      </c>
      <c r="J47" s="52">
        <v>157.20240000000001</v>
      </c>
      <c r="K47" s="52">
        <v>471.60719999999998</v>
      </c>
      <c r="L47" s="52">
        <v>157.20240000000001</v>
      </c>
      <c r="M47" s="52">
        <v>157.20240000000001</v>
      </c>
      <c r="N47" s="5" t="s">
        <v>69</v>
      </c>
    </row>
    <row r="48" spans="1:14" x14ac:dyDescent="0.25">
      <c r="A48" s="51">
        <v>0.83699999999999997</v>
      </c>
      <c r="B48" s="52">
        <v>1573.9046000000001</v>
      </c>
      <c r="C48" s="52">
        <v>78.6952</v>
      </c>
      <c r="D48" s="52">
        <v>0</v>
      </c>
      <c r="E48" s="52">
        <v>0</v>
      </c>
      <c r="F48" s="52">
        <v>236.0857</v>
      </c>
      <c r="G48" s="52">
        <v>78.6952</v>
      </c>
      <c r="H48" s="52">
        <v>78.6952</v>
      </c>
      <c r="I48" s="52">
        <v>157.3905</v>
      </c>
      <c r="J48" s="52">
        <v>157.3905</v>
      </c>
      <c r="K48" s="52">
        <v>472.17140000000001</v>
      </c>
      <c r="L48" s="52">
        <v>157.3905</v>
      </c>
      <c r="M48" s="52">
        <v>157.3905</v>
      </c>
      <c r="N48" s="5" t="s">
        <v>69</v>
      </c>
    </row>
    <row r="49" spans="1:14" x14ac:dyDescent="0.25">
      <c r="A49" s="51">
        <v>0.83799999999999997</v>
      </c>
      <c r="B49" s="52">
        <v>1575.7850000000001</v>
      </c>
      <c r="C49" s="52">
        <v>78.789199999999994</v>
      </c>
      <c r="D49" s="52">
        <v>0</v>
      </c>
      <c r="E49" s="52">
        <v>0</v>
      </c>
      <c r="F49" s="52">
        <v>236.36770000000001</v>
      </c>
      <c r="G49" s="52">
        <v>78.789199999999994</v>
      </c>
      <c r="H49" s="52">
        <v>78.789199999999994</v>
      </c>
      <c r="I49" s="52">
        <v>157.57849999999999</v>
      </c>
      <c r="J49" s="52">
        <v>157.57849999999999</v>
      </c>
      <c r="K49" s="52">
        <v>472.7355</v>
      </c>
      <c r="L49" s="52">
        <v>157.57849999999999</v>
      </c>
      <c r="M49" s="52">
        <v>157.57849999999999</v>
      </c>
      <c r="N49" s="5" t="s">
        <v>69</v>
      </c>
    </row>
    <row r="50" spans="1:14" x14ac:dyDescent="0.25">
      <c r="A50" s="51">
        <v>0.83899999999999997</v>
      </c>
      <c r="B50" s="52">
        <v>1577.6654000000001</v>
      </c>
      <c r="C50" s="52">
        <v>78.883300000000006</v>
      </c>
      <c r="D50" s="52">
        <v>0</v>
      </c>
      <c r="E50" s="52">
        <v>0</v>
      </c>
      <c r="F50" s="52">
        <v>236.6498</v>
      </c>
      <c r="G50" s="52">
        <v>78.883300000000006</v>
      </c>
      <c r="H50" s="52">
        <v>78.883300000000006</v>
      </c>
      <c r="I50" s="52">
        <v>157.76650000000001</v>
      </c>
      <c r="J50" s="52">
        <v>157.76650000000001</v>
      </c>
      <c r="K50" s="52">
        <v>473.2996</v>
      </c>
      <c r="L50" s="52">
        <v>157.76650000000001</v>
      </c>
      <c r="M50" s="52">
        <v>157.76650000000001</v>
      </c>
      <c r="N50" s="5" t="s">
        <v>69</v>
      </c>
    </row>
    <row r="51" spans="1:14" x14ac:dyDescent="0.25">
      <c r="A51" s="51">
        <v>0.84</v>
      </c>
      <c r="B51" s="52">
        <v>1579.5458000000001</v>
      </c>
      <c r="C51" s="52">
        <v>78.9773</v>
      </c>
      <c r="D51" s="52">
        <v>0</v>
      </c>
      <c r="E51" s="52">
        <v>0</v>
      </c>
      <c r="F51" s="52">
        <v>236.93190000000001</v>
      </c>
      <c r="G51" s="52">
        <v>78.9773</v>
      </c>
      <c r="H51" s="52">
        <v>78.9773</v>
      </c>
      <c r="I51" s="52">
        <v>157.9546</v>
      </c>
      <c r="J51" s="52">
        <v>157.9546</v>
      </c>
      <c r="K51" s="52">
        <v>473.86369999999999</v>
      </c>
      <c r="L51" s="52">
        <v>157.9546</v>
      </c>
      <c r="M51" s="52">
        <v>157.9546</v>
      </c>
      <c r="N51" s="5" t="s">
        <v>69</v>
      </c>
    </row>
    <row r="52" spans="1:14" x14ac:dyDescent="0.25">
      <c r="A52" s="51">
        <v>0.84099999999999997</v>
      </c>
      <c r="B52" s="52">
        <v>1581.4262000000001</v>
      </c>
      <c r="C52" s="52">
        <v>79.071299999999994</v>
      </c>
      <c r="D52" s="52">
        <v>0</v>
      </c>
      <c r="E52" s="52">
        <v>0</v>
      </c>
      <c r="F52" s="52">
        <v>237.2139</v>
      </c>
      <c r="G52" s="52">
        <v>79.071299999999994</v>
      </c>
      <c r="H52" s="52">
        <v>79.071299999999994</v>
      </c>
      <c r="I52" s="52">
        <v>158.14259999999999</v>
      </c>
      <c r="J52" s="52">
        <v>158.14259999999999</v>
      </c>
      <c r="K52" s="52">
        <v>474.42790000000002</v>
      </c>
      <c r="L52" s="52">
        <v>158.14259999999999</v>
      </c>
      <c r="M52" s="52">
        <v>158.14259999999999</v>
      </c>
      <c r="N52" s="5" t="s">
        <v>69</v>
      </c>
    </row>
    <row r="53" spans="1:14" x14ac:dyDescent="0.25">
      <c r="A53" s="51">
        <v>0.84199999999999997</v>
      </c>
      <c r="B53" s="52">
        <v>1583.3065999999999</v>
      </c>
      <c r="C53" s="52">
        <v>79.165300000000002</v>
      </c>
      <c r="D53" s="52">
        <v>0</v>
      </c>
      <c r="E53" s="52">
        <v>0</v>
      </c>
      <c r="F53" s="52">
        <v>237.49600000000001</v>
      </c>
      <c r="G53" s="52">
        <v>79.165300000000002</v>
      </c>
      <c r="H53" s="52">
        <v>79.165300000000002</v>
      </c>
      <c r="I53" s="52">
        <v>158.33070000000001</v>
      </c>
      <c r="J53" s="52">
        <v>158.33070000000001</v>
      </c>
      <c r="K53" s="52">
        <v>474.99200000000002</v>
      </c>
      <c r="L53" s="52">
        <v>158.33070000000001</v>
      </c>
      <c r="M53" s="52">
        <v>158.33070000000001</v>
      </c>
      <c r="N53" s="5" t="s">
        <v>69</v>
      </c>
    </row>
    <row r="54" spans="1:14" x14ac:dyDescent="0.25">
      <c r="A54" s="51">
        <v>0.84299999999999997</v>
      </c>
      <c r="B54" s="52">
        <v>1585.1869999999999</v>
      </c>
      <c r="C54" s="52">
        <v>79.259399999999999</v>
      </c>
      <c r="D54" s="52">
        <v>0</v>
      </c>
      <c r="E54" s="52">
        <v>0</v>
      </c>
      <c r="F54" s="52">
        <v>237.77809999999999</v>
      </c>
      <c r="G54" s="52">
        <v>79.259399999999999</v>
      </c>
      <c r="H54" s="52">
        <v>79.259399999999999</v>
      </c>
      <c r="I54" s="52">
        <v>158.5187</v>
      </c>
      <c r="J54" s="52">
        <v>158.5187</v>
      </c>
      <c r="K54" s="52">
        <v>475.55610000000001</v>
      </c>
      <c r="L54" s="52">
        <v>158.5187</v>
      </c>
      <c r="M54" s="52">
        <v>158.5187</v>
      </c>
      <c r="N54" s="5" t="s">
        <v>69</v>
      </c>
    </row>
    <row r="55" spans="1:14" x14ac:dyDescent="0.25">
      <c r="A55" s="51">
        <v>0.84399999999999997</v>
      </c>
      <c r="B55" s="52">
        <v>1587.0673999999999</v>
      </c>
      <c r="C55" s="52">
        <v>79.353399999999993</v>
      </c>
      <c r="D55" s="52">
        <v>0</v>
      </c>
      <c r="E55" s="52">
        <v>0</v>
      </c>
      <c r="F55" s="52">
        <v>238.06010000000001</v>
      </c>
      <c r="G55" s="52">
        <v>79.353399999999993</v>
      </c>
      <c r="H55" s="52">
        <v>79.353399999999993</v>
      </c>
      <c r="I55" s="52">
        <v>158.70670000000001</v>
      </c>
      <c r="J55" s="52">
        <v>158.70670000000001</v>
      </c>
      <c r="K55" s="52">
        <v>476.12020000000001</v>
      </c>
      <c r="L55" s="52">
        <v>158.70670000000001</v>
      </c>
      <c r="M55" s="52">
        <v>158.70670000000001</v>
      </c>
      <c r="N55" s="5" t="s">
        <v>69</v>
      </c>
    </row>
    <row r="56" spans="1:14" x14ac:dyDescent="0.25">
      <c r="A56" s="51">
        <v>0.84499999999999997</v>
      </c>
      <c r="B56" s="52">
        <v>1588.9478999999999</v>
      </c>
      <c r="C56" s="52">
        <v>79.447400000000002</v>
      </c>
      <c r="D56" s="52">
        <v>0</v>
      </c>
      <c r="E56" s="52">
        <v>0</v>
      </c>
      <c r="F56" s="52">
        <v>238.34219999999999</v>
      </c>
      <c r="G56" s="52">
        <v>79.447400000000002</v>
      </c>
      <c r="H56" s="52">
        <v>79.447400000000002</v>
      </c>
      <c r="I56" s="52">
        <v>158.8948</v>
      </c>
      <c r="J56" s="52">
        <v>158.8948</v>
      </c>
      <c r="K56" s="52">
        <v>476.68439999999998</v>
      </c>
      <c r="L56" s="52">
        <v>158.8948</v>
      </c>
      <c r="M56" s="52">
        <v>158.8948</v>
      </c>
      <c r="N56" s="5" t="s">
        <v>69</v>
      </c>
    </row>
    <row r="57" spans="1:14" x14ac:dyDescent="0.25">
      <c r="A57" s="51">
        <v>0.84599999999999997</v>
      </c>
      <c r="B57" s="52">
        <v>1590.8282999999999</v>
      </c>
      <c r="C57" s="52">
        <v>79.541399999999996</v>
      </c>
      <c r="D57" s="52">
        <v>0</v>
      </c>
      <c r="E57" s="52">
        <v>0</v>
      </c>
      <c r="F57" s="52">
        <v>238.6242</v>
      </c>
      <c r="G57" s="52">
        <v>79.541399999999996</v>
      </c>
      <c r="H57" s="52">
        <v>79.541399999999996</v>
      </c>
      <c r="I57" s="52">
        <v>159.08279999999999</v>
      </c>
      <c r="J57" s="52">
        <v>159.08279999999999</v>
      </c>
      <c r="K57" s="52">
        <v>477.24849999999998</v>
      </c>
      <c r="L57" s="52">
        <v>159.08279999999999</v>
      </c>
      <c r="M57" s="52">
        <v>159.08279999999999</v>
      </c>
      <c r="N57" s="5" t="s">
        <v>69</v>
      </c>
    </row>
    <row r="58" spans="1:14" x14ac:dyDescent="0.25">
      <c r="A58" s="51">
        <v>0.84699999999999998</v>
      </c>
      <c r="B58" s="52">
        <v>1592.7086999999999</v>
      </c>
      <c r="C58" s="52">
        <v>79.635400000000004</v>
      </c>
      <c r="D58" s="52">
        <v>0</v>
      </c>
      <c r="E58" s="52">
        <v>0</v>
      </c>
      <c r="F58" s="52">
        <v>238.90629999999999</v>
      </c>
      <c r="G58" s="52">
        <v>79.635400000000004</v>
      </c>
      <c r="H58" s="52">
        <v>79.635400000000004</v>
      </c>
      <c r="I58" s="52">
        <v>159.27090000000001</v>
      </c>
      <c r="J58" s="52">
        <v>159.27090000000001</v>
      </c>
      <c r="K58" s="52">
        <v>477.81259999999997</v>
      </c>
      <c r="L58" s="52">
        <v>159.27090000000001</v>
      </c>
      <c r="M58" s="52">
        <v>159.27090000000001</v>
      </c>
      <c r="N58" s="5" t="s">
        <v>69</v>
      </c>
    </row>
    <row r="59" spans="1:14" x14ac:dyDescent="0.25">
      <c r="A59" s="51">
        <v>0.84799999999999998</v>
      </c>
      <c r="B59" s="52">
        <v>1594.5890999999999</v>
      </c>
      <c r="C59" s="52">
        <v>79.729500000000002</v>
      </c>
      <c r="D59" s="52">
        <v>0</v>
      </c>
      <c r="E59" s="52">
        <v>0</v>
      </c>
      <c r="F59" s="52">
        <v>239.1884</v>
      </c>
      <c r="G59" s="52">
        <v>79.729500000000002</v>
      </c>
      <c r="H59" s="52">
        <v>79.729500000000002</v>
      </c>
      <c r="I59" s="52">
        <v>159.4589</v>
      </c>
      <c r="J59" s="52">
        <v>159.4589</v>
      </c>
      <c r="K59" s="52">
        <v>478.37670000000003</v>
      </c>
      <c r="L59" s="52">
        <v>159.4589</v>
      </c>
      <c r="M59" s="52">
        <v>159.4589</v>
      </c>
      <c r="N59" s="5" t="s">
        <v>69</v>
      </c>
    </row>
    <row r="60" spans="1:14" x14ac:dyDescent="0.25">
      <c r="A60" s="51">
        <v>0.84899999999999998</v>
      </c>
      <c r="B60" s="52">
        <v>1596.4694999999999</v>
      </c>
      <c r="C60" s="52">
        <v>79.823499999999996</v>
      </c>
      <c r="D60" s="52">
        <v>0</v>
      </c>
      <c r="E60" s="52">
        <v>0</v>
      </c>
      <c r="F60" s="52">
        <v>239.47040000000001</v>
      </c>
      <c r="G60" s="52">
        <v>79.823499999999996</v>
      </c>
      <c r="H60" s="52">
        <v>79.823499999999996</v>
      </c>
      <c r="I60" s="52">
        <v>159.64699999999999</v>
      </c>
      <c r="J60" s="52">
        <v>159.64699999999999</v>
      </c>
      <c r="K60" s="52">
        <v>478.9409</v>
      </c>
      <c r="L60" s="52">
        <v>159.64699999999999</v>
      </c>
      <c r="M60" s="52">
        <v>159.64699999999999</v>
      </c>
      <c r="N60" s="5" t="s">
        <v>69</v>
      </c>
    </row>
    <row r="61" spans="1:14" x14ac:dyDescent="0.25">
      <c r="A61" s="51">
        <v>0.85</v>
      </c>
      <c r="B61" s="52">
        <v>1598.3498999999999</v>
      </c>
      <c r="C61" s="52">
        <v>79.917500000000004</v>
      </c>
      <c r="D61" s="52">
        <v>0</v>
      </c>
      <c r="E61" s="52">
        <v>0</v>
      </c>
      <c r="F61" s="52">
        <v>239.7525</v>
      </c>
      <c r="G61" s="52">
        <v>79.917500000000004</v>
      </c>
      <c r="H61" s="52">
        <v>79.917500000000004</v>
      </c>
      <c r="I61" s="52">
        <v>159.83500000000001</v>
      </c>
      <c r="J61" s="52">
        <v>159.83500000000001</v>
      </c>
      <c r="K61" s="52">
        <v>479.505</v>
      </c>
      <c r="L61" s="52">
        <v>159.83500000000001</v>
      </c>
      <c r="M61" s="52">
        <v>159.83500000000001</v>
      </c>
      <c r="N61" s="5" t="s">
        <v>69</v>
      </c>
    </row>
    <row r="62" spans="1:14" x14ac:dyDescent="0.25">
      <c r="A62" s="51">
        <v>0.85099999999999998</v>
      </c>
      <c r="B62" s="52">
        <v>1600.2302999999999</v>
      </c>
      <c r="C62" s="52">
        <v>80.011499999999998</v>
      </c>
      <c r="D62" s="52">
        <v>0</v>
      </c>
      <c r="E62" s="52">
        <v>0</v>
      </c>
      <c r="F62" s="52">
        <v>240.03450000000001</v>
      </c>
      <c r="G62" s="52">
        <v>80.011499999999998</v>
      </c>
      <c r="H62" s="52">
        <v>80.011499999999998</v>
      </c>
      <c r="I62" s="52">
        <v>160.023</v>
      </c>
      <c r="J62" s="52">
        <v>160.023</v>
      </c>
      <c r="K62" s="52">
        <v>480.06909999999999</v>
      </c>
      <c r="L62" s="52">
        <v>160.023</v>
      </c>
      <c r="M62" s="52">
        <v>160.023</v>
      </c>
      <c r="N62" s="5" t="s">
        <v>69</v>
      </c>
    </row>
    <row r="63" spans="1:14" x14ac:dyDescent="0.25">
      <c r="A63" s="51">
        <v>0.85199999999999998</v>
      </c>
      <c r="B63" s="52">
        <v>1602.1107</v>
      </c>
      <c r="C63" s="52">
        <v>80.105500000000006</v>
      </c>
      <c r="D63" s="52">
        <v>0</v>
      </c>
      <c r="E63" s="52">
        <v>0</v>
      </c>
      <c r="F63" s="52">
        <v>240.31659999999999</v>
      </c>
      <c r="G63" s="52">
        <v>80.105500000000006</v>
      </c>
      <c r="H63" s="52">
        <v>80.105500000000006</v>
      </c>
      <c r="I63" s="52">
        <v>160.21109999999999</v>
      </c>
      <c r="J63" s="52">
        <v>160.21109999999999</v>
      </c>
      <c r="K63" s="52">
        <v>480.63319999999999</v>
      </c>
      <c r="L63" s="52">
        <v>160.21109999999999</v>
      </c>
      <c r="M63" s="52">
        <v>160.21109999999999</v>
      </c>
      <c r="N63" s="5" t="s">
        <v>69</v>
      </c>
    </row>
    <row r="64" spans="1:14" x14ac:dyDescent="0.25">
      <c r="A64" s="51">
        <v>0.85299999999999998</v>
      </c>
      <c r="B64" s="52">
        <v>1603.9911</v>
      </c>
      <c r="C64" s="52">
        <v>80.199600000000004</v>
      </c>
      <c r="D64" s="52">
        <v>0</v>
      </c>
      <c r="E64" s="52">
        <v>0</v>
      </c>
      <c r="F64" s="52">
        <v>240.59870000000001</v>
      </c>
      <c r="G64" s="52">
        <v>80.199600000000004</v>
      </c>
      <c r="H64" s="52">
        <v>80.199600000000004</v>
      </c>
      <c r="I64" s="52">
        <v>160.3991</v>
      </c>
      <c r="J64" s="52">
        <v>160.3991</v>
      </c>
      <c r="K64" s="52">
        <v>481.19729999999998</v>
      </c>
      <c r="L64" s="52">
        <v>160.3991</v>
      </c>
      <c r="M64" s="52">
        <v>160.3991</v>
      </c>
      <c r="N64" s="5" t="s">
        <v>69</v>
      </c>
    </row>
    <row r="65" spans="1:14" x14ac:dyDescent="0.25">
      <c r="A65" s="51">
        <v>0.85399999999999998</v>
      </c>
      <c r="B65" s="52">
        <v>1605.8715999999999</v>
      </c>
      <c r="C65" s="52">
        <v>80.293599999999998</v>
      </c>
      <c r="D65" s="52">
        <v>0</v>
      </c>
      <c r="E65" s="52">
        <v>0</v>
      </c>
      <c r="F65" s="52">
        <v>240.88069999999999</v>
      </c>
      <c r="G65" s="52">
        <v>80.293599999999998</v>
      </c>
      <c r="H65" s="52">
        <v>80.293599999999998</v>
      </c>
      <c r="I65" s="52">
        <v>160.5872</v>
      </c>
      <c r="J65" s="52">
        <v>160.5872</v>
      </c>
      <c r="K65" s="52">
        <v>481.76150000000001</v>
      </c>
      <c r="L65" s="52">
        <v>160.5872</v>
      </c>
      <c r="M65" s="52">
        <v>160.5872</v>
      </c>
      <c r="N65" s="5" t="s">
        <v>69</v>
      </c>
    </row>
    <row r="66" spans="1:14" x14ac:dyDescent="0.25">
      <c r="A66" s="51">
        <v>0.85499999999999998</v>
      </c>
      <c r="B66" s="52">
        <v>1607.752</v>
      </c>
      <c r="C66" s="52">
        <v>80.387600000000006</v>
      </c>
      <c r="D66" s="52">
        <v>0</v>
      </c>
      <c r="E66" s="52">
        <v>0</v>
      </c>
      <c r="F66" s="52">
        <v>241.1628</v>
      </c>
      <c r="G66" s="52">
        <v>80.387600000000006</v>
      </c>
      <c r="H66" s="52">
        <v>80.387600000000006</v>
      </c>
      <c r="I66" s="52">
        <v>160.77520000000001</v>
      </c>
      <c r="J66" s="52">
        <v>160.77520000000001</v>
      </c>
      <c r="K66" s="52">
        <v>482.32560000000001</v>
      </c>
      <c r="L66" s="52">
        <v>160.77520000000001</v>
      </c>
      <c r="M66" s="52">
        <v>160.77520000000001</v>
      </c>
      <c r="N66" s="5" t="s">
        <v>69</v>
      </c>
    </row>
    <row r="67" spans="1:14" x14ac:dyDescent="0.25">
      <c r="A67" s="51">
        <v>0.85599999999999998</v>
      </c>
      <c r="B67" s="52">
        <v>1609.6324</v>
      </c>
      <c r="C67" s="52">
        <v>80.4816</v>
      </c>
      <c r="D67" s="52">
        <v>0</v>
      </c>
      <c r="E67" s="52">
        <v>0</v>
      </c>
      <c r="F67" s="52">
        <v>241.44489999999999</v>
      </c>
      <c r="G67" s="52">
        <v>80.4816</v>
      </c>
      <c r="H67" s="52">
        <v>80.4816</v>
      </c>
      <c r="I67" s="52">
        <v>160.9632</v>
      </c>
      <c r="J67" s="52">
        <v>160.9632</v>
      </c>
      <c r="K67" s="52">
        <v>482.8897</v>
      </c>
      <c r="L67" s="52">
        <v>160.9632</v>
      </c>
      <c r="M67" s="52">
        <v>160.9632</v>
      </c>
      <c r="N67" s="5" t="s">
        <v>69</v>
      </c>
    </row>
    <row r="68" spans="1:14" x14ac:dyDescent="0.25">
      <c r="A68" s="51">
        <v>0.85699999999999998</v>
      </c>
      <c r="B68" s="52">
        <v>1611.5128</v>
      </c>
      <c r="C68" s="52">
        <v>80.575599999999994</v>
      </c>
      <c r="D68" s="52">
        <v>0</v>
      </c>
      <c r="E68" s="52">
        <v>0</v>
      </c>
      <c r="F68" s="52">
        <v>241.7269</v>
      </c>
      <c r="G68" s="52">
        <v>80.575599999999994</v>
      </c>
      <c r="H68" s="52">
        <v>80.575599999999994</v>
      </c>
      <c r="I68" s="52">
        <v>161.15129999999999</v>
      </c>
      <c r="J68" s="52">
        <v>161.15129999999999</v>
      </c>
      <c r="K68" s="52">
        <v>483.4538</v>
      </c>
      <c r="L68" s="52">
        <v>161.15129999999999</v>
      </c>
      <c r="M68" s="52">
        <v>161.15129999999999</v>
      </c>
      <c r="N68" s="5" t="s">
        <v>69</v>
      </c>
    </row>
    <row r="69" spans="1:14" x14ac:dyDescent="0.25">
      <c r="A69" s="51">
        <v>0.85799999999999998</v>
      </c>
      <c r="B69" s="52">
        <v>1613.3932</v>
      </c>
      <c r="C69" s="52">
        <v>80.669700000000006</v>
      </c>
      <c r="D69" s="52">
        <v>0</v>
      </c>
      <c r="E69" s="52">
        <v>0</v>
      </c>
      <c r="F69" s="52">
        <v>242.00899999999999</v>
      </c>
      <c r="G69" s="52">
        <v>80.669700000000006</v>
      </c>
      <c r="H69" s="52">
        <v>80.669700000000006</v>
      </c>
      <c r="I69" s="52">
        <v>161.33930000000001</v>
      </c>
      <c r="J69" s="52">
        <v>161.33930000000001</v>
      </c>
      <c r="K69" s="52">
        <v>484.01799999999997</v>
      </c>
      <c r="L69" s="52">
        <v>161.33930000000001</v>
      </c>
      <c r="M69" s="52">
        <v>161.33930000000001</v>
      </c>
      <c r="N69" s="5" t="s">
        <v>69</v>
      </c>
    </row>
    <row r="70" spans="1:14" x14ac:dyDescent="0.25">
      <c r="A70" s="51">
        <v>0.85899999999999999</v>
      </c>
      <c r="B70" s="52">
        <v>1615.2736</v>
      </c>
      <c r="C70" s="52">
        <v>80.7637</v>
      </c>
      <c r="D70" s="52">
        <v>0</v>
      </c>
      <c r="E70" s="52">
        <v>0</v>
      </c>
      <c r="F70" s="52">
        <v>242.291</v>
      </c>
      <c r="G70" s="52">
        <v>80.7637</v>
      </c>
      <c r="H70" s="52">
        <v>80.7637</v>
      </c>
      <c r="I70" s="52">
        <v>161.5274</v>
      </c>
      <c r="J70" s="52">
        <v>161.5274</v>
      </c>
      <c r="K70" s="52">
        <v>484.58210000000003</v>
      </c>
      <c r="L70" s="52">
        <v>161.5274</v>
      </c>
      <c r="M70" s="52">
        <v>161.5274</v>
      </c>
      <c r="N70" s="5" t="s">
        <v>69</v>
      </c>
    </row>
    <row r="71" spans="1:14" x14ac:dyDescent="0.25">
      <c r="A71" s="51">
        <v>0.86</v>
      </c>
      <c r="B71" s="52">
        <v>1617.154</v>
      </c>
      <c r="C71" s="52">
        <v>80.857699999999994</v>
      </c>
      <c r="D71" s="52">
        <v>0</v>
      </c>
      <c r="E71" s="52">
        <v>0</v>
      </c>
      <c r="F71" s="52">
        <v>242.57310000000001</v>
      </c>
      <c r="G71" s="52">
        <v>80.857699999999994</v>
      </c>
      <c r="H71" s="52">
        <v>80.857699999999994</v>
      </c>
      <c r="I71" s="52">
        <v>161.71539999999999</v>
      </c>
      <c r="J71" s="52">
        <v>161.71539999999999</v>
      </c>
      <c r="K71" s="52">
        <v>485.14620000000002</v>
      </c>
      <c r="L71" s="52">
        <v>161.71539999999999</v>
      </c>
      <c r="M71" s="52">
        <v>161.71539999999999</v>
      </c>
      <c r="N71" s="5" t="s">
        <v>69</v>
      </c>
    </row>
    <row r="72" spans="1:14" x14ac:dyDescent="0.25">
      <c r="A72" s="51">
        <v>0.86099999999999999</v>
      </c>
      <c r="B72" s="52">
        <v>1619.0344</v>
      </c>
      <c r="C72" s="52">
        <v>80.951700000000002</v>
      </c>
      <c r="D72" s="52">
        <v>0</v>
      </c>
      <c r="E72" s="52">
        <v>0</v>
      </c>
      <c r="F72" s="52">
        <v>242.8552</v>
      </c>
      <c r="G72" s="52">
        <v>80.951700000000002</v>
      </c>
      <c r="H72" s="52">
        <v>80.951700000000002</v>
      </c>
      <c r="I72" s="52">
        <v>161.9034</v>
      </c>
      <c r="J72" s="52">
        <v>161.9034</v>
      </c>
      <c r="K72" s="52">
        <v>485.71030000000002</v>
      </c>
      <c r="L72" s="52">
        <v>161.9034</v>
      </c>
      <c r="M72" s="52">
        <v>161.9034</v>
      </c>
      <c r="N72" s="5" t="s">
        <v>69</v>
      </c>
    </row>
    <row r="73" spans="1:14" x14ac:dyDescent="0.25">
      <c r="A73" s="51">
        <v>0.86199999999999999</v>
      </c>
      <c r="B73" s="52">
        <v>1620.9149</v>
      </c>
      <c r="C73" s="52">
        <v>81.045699999999997</v>
      </c>
      <c r="D73" s="52">
        <v>0</v>
      </c>
      <c r="E73" s="52">
        <v>0</v>
      </c>
      <c r="F73" s="52">
        <v>243.13720000000001</v>
      </c>
      <c r="G73" s="52">
        <v>81.045699999999997</v>
      </c>
      <c r="H73" s="52">
        <v>81.045699999999997</v>
      </c>
      <c r="I73" s="52">
        <v>162.0915</v>
      </c>
      <c r="J73" s="52">
        <v>162.0915</v>
      </c>
      <c r="K73" s="52">
        <v>486.27449999999999</v>
      </c>
      <c r="L73" s="52">
        <v>162.0915</v>
      </c>
      <c r="M73" s="52">
        <v>162.0915</v>
      </c>
      <c r="N73" s="5" t="s">
        <v>69</v>
      </c>
    </row>
    <row r="74" spans="1:14" x14ac:dyDescent="0.25">
      <c r="A74" s="51">
        <v>0.86299999999999999</v>
      </c>
      <c r="B74" s="52">
        <v>1622.7953</v>
      </c>
      <c r="C74" s="52">
        <v>81.139799999999994</v>
      </c>
      <c r="D74" s="52">
        <v>0</v>
      </c>
      <c r="E74" s="52">
        <v>0</v>
      </c>
      <c r="F74" s="52">
        <v>243.41929999999999</v>
      </c>
      <c r="G74" s="52">
        <v>81.139799999999994</v>
      </c>
      <c r="H74" s="52">
        <v>81.139799999999994</v>
      </c>
      <c r="I74" s="52">
        <v>162.27950000000001</v>
      </c>
      <c r="J74" s="52">
        <v>162.27950000000001</v>
      </c>
      <c r="K74" s="52">
        <v>486.83859999999999</v>
      </c>
      <c r="L74" s="52">
        <v>162.27950000000001</v>
      </c>
      <c r="M74" s="52">
        <v>162.27950000000001</v>
      </c>
      <c r="N74" s="5" t="s">
        <v>69</v>
      </c>
    </row>
    <row r="75" spans="1:14" x14ac:dyDescent="0.25">
      <c r="A75" s="51">
        <v>0.86399999999999999</v>
      </c>
      <c r="B75" s="52">
        <v>1624.6757</v>
      </c>
      <c r="C75" s="52">
        <v>81.233800000000002</v>
      </c>
      <c r="D75" s="52">
        <v>0</v>
      </c>
      <c r="E75" s="52">
        <v>0</v>
      </c>
      <c r="F75" s="52">
        <v>243.70140000000001</v>
      </c>
      <c r="G75" s="52">
        <v>81.233800000000002</v>
      </c>
      <c r="H75" s="52">
        <v>81.233800000000002</v>
      </c>
      <c r="I75" s="52">
        <v>162.4676</v>
      </c>
      <c r="J75" s="52">
        <v>162.4676</v>
      </c>
      <c r="K75" s="52">
        <v>487.40269999999998</v>
      </c>
      <c r="L75" s="52">
        <v>162.4676</v>
      </c>
      <c r="M75" s="52">
        <v>162.4676</v>
      </c>
      <c r="N75" s="5" t="s">
        <v>69</v>
      </c>
    </row>
    <row r="76" spans="1:14" x14ac:dyDescent="0.25">
      <c r="A76" s="51">
        <v>0.86499999999999999</v>
      </c>
      <c r="B76" s="52">
        <v>1626.5561</v>
      </c>
      <c r="C76" s="52">
        <v>81.327799999999996</v>
      </c>
      <c r="D76" s="52">
        <v>0</v>
      </c>
      <c r="E76" s="52">
        <v>0</v>
      </c>
      <c r="F76" s="52">
        <v>243.98339999999999</v>
      </c>
      <c r="G76" s="52">
        <v>81.327799999999996</v>
      </c>
      <c r="H76" s="52">
        <v>81.327799999999996</v>
      </c>
      <c r="I76" s="52">
        <v>162.65559999999999</v>
      </c>
      <c r="J76" s="52">
        <v>162.65559999999999</v>
      </c>
      <c r="K76" s="52">
        <v>487.96679999999998</v>
      </c>
      <c r="L76" s="52">
        <v>162.65559999999999</v>
      </c>
      <c r="M76" s="52">
        <v>162.65559999999999</v>
      </c>
      <c r="N76" s="5" t="s">
        <v>69</v>
      </c>
    </row>
    <row r="77" spans="1:14" x14ac:dyDescent="0.25">
      <c r="A77" s="51">
        <v>0.86599999999999999</v>
      </c>
      <c r="B77" s="52">
        <v>1628.4365</v>
      </c>
      <c r="C77" s="52">
        <v>81.421800000000005</v>
      </c>
      <c r="D77" s="52">
        <v>0</v>
      </c>
      <c r="E77" s="52">
        <v>0</v>
      </c>
      <c r="F77" s="52">
        <v>244.2655</v>
      </c>
      <c r="G77" s="52">
        <v>81.421800000000005</v>
      </c>
      <c r="H77" s="52">
        <v>81.421800000000005</v>
      </c>
      <c r="I77" s="52">
        <v>162.84370000000001</v>
      </c>
      <c r="J77" s="52">
        <v>162.84370000000001</v>
      </c>
      <c r="K77" s="52">
        <v>488.53089999999997</v>
      </c>
      <c r="L77" s="52">
        <v>162.84370000000001</v>
      </c>
      <c r="M77" s="52">
        <v>162.84370000000001</v>
      </c>
      <c r="N77" s="5" t="s">
        <v>69</v>
      </c>
    </row>
    <row r="78" spans="1:14" x14ac:dyDescent="0.25">
      <c r="A78" s="51">
        <v>0.86699999999999999</v>
      </c>
      <c r="B78" s="52">
        <v>1630.3169</v>
      </c>
      <c r="C78" s="52">
        <v>81.515799999999999</v>
      </c>
      <c r="D78" s="52">
        <v>0</v>
      </c>
      <c r="E78" s="52">
        <v>0</v>
      </c>
      <c r="F78" s="52">
        <v>244.54750000000001</v>
      </c>
      <c r="G78" s="52">
        <v>81.515799999999999</v>
      </c>
      <c r="H78" s="52">
        <v>81.515799999999999</v>
      </c>
      <c r="I78" s="52">
        <v>163.0317</v>
      </c>
      <c r="J78" s="52">
        <v>163.0317</v>
      </c>
      <c r="K78" s="52">
        <v>489.0951</v>
      </c>
      <c r="L78" s="52">
        <v>163.0317</v>
      </c>
      <c r="M78" s="52">
        <v>163.0317</v>
      </c>
      <c r="N78" s="5" t="s">
        <v>69</v>
      </c>
    </row>
    <row r="79" spans="1:14" x14ac:dyDescent="0.25">
      <c r="A79" s="51">
        <v>0.86799999999999999</v>
      </c>
      <c r="B79" s="52">
        <v>1632.1973</v>
      </c>
      <c r="C79" s="52">
        <v>81.609899999999996</v>
      </c>
      <c r="D79" s="52">
        <v>0</v>
      </c>
      <c r="E79" s="52">
        <v>0</v>
      </c>
      <c r="F79" s="52">
        <v>244.8296</v>
      </c>
      <c r="G79" s="52">
        <v>81.609899999999996</v>
      </c>
      <c r="H79" s="52">
        <v>81.609899999999996</v>
      </c>
      <c r="I79" s="52">
        <v>163.21969999999999</v>
      </c>
      <c r="J79" s="52">
        <v>163.21969999999999</v>
      </c>
      <c r="K79" s="52">
        <v>489.6592</v>
      </c>
      <c r="L79" s="52">
        <v>163.21969999999999</v>
      </c>
      <c r="M79" s="52">
        <v>163.21969999999999</v>
      </c>
      <c r="N79" s="5" t="s">
        <v>69</v>
      </c>
    </row>
    <row r="80" spans="1:14" x14ac:dyDescent="0.25">
      <c r="A80" s="51">
        <v>0.86899999999999999</v>
      </c>
      <c r="B80" s="52">
        <v>1634.0777</v>
      </c>
      <c r="C80" s="52">
        <v>81.703900000000004</v>
      </c>
      <c r="D80" s="52">
        <v>0</v>
      </c>
      <c r="E80" s="52">
        <v>0</v>
      </c>
      <c r="F80" s="52">
        <v>245.11170000000001</v>
      </c>
      <c r="G80" s="52">
        <v>81.703900000000004</v>
      </c>
      <c r="H80" s="52">
        <v>81.703900000000004</v>
      </c>
      <c r="I80" s="52">
        <v>163.40780000000001</v>
      </c>
      <c r="J80" s="52">
        <v>163.40780000000001</v>
      </c>
      <c r="K80" s="52">
        <v>490.22329999999999</v>
      </c>
      <c r="L80" s="52">
        <v>163.40780000000001</v>
      </c>
      <c r="M80" s="52">
        <v>163.40780000000001</v>
      </c>
      <c r="N80" s="5" t="s">
        <v>69</v>
      </c>
    </row>
    <row r="81" spans="1:14" x14ac:dyDescent="0.25">
      <c r="A81" s="51">
        <v>0.87</v>
      </c>
      <c r="B81" s="52">
        <v>1635.9581000000001</v>
      </c>
      <c r="C81" s="52">
        <v>81.797899999999998</v>
      </c>
      <c r="D81" s="52">
        <v>0</v>
      </c>
      <c r="E81" s="52">
        <v>0</v>
      </c>
      <c r="F81" s="52">
        <v>245.3937</v>
      </c>
      <c r="G81" s="52">
        <v>81.797899999999998</v>
      </c>
      <c r="H81" s="52">
        <v>81.797899999999998</v>
      </c>
      <c r="I81" s="52">
        <v>163.5958</v>
      </c>
      <c r="J81" s="52">
        <v>163.5958</v>
      </c>
      <c r="K81" s="52">
        <v>490.78739999999999</v>
      </c>
      <c r="L81" s="52">
        <v>163.5958</v>
      </c>
      <c r="M81" s="52">
        <v>163.5958</v>
      </c>
      <c r="N81" s="5" t="s">
        <v>69</v>
      </c>
    </row>
    <row r="82" spans="1:14" x14ac:dyDescent="0.25">
      <c r="A82" s="51">
        <v>0.871</v>
      </c>
      <c r="B82" s="52">
        <v>1637.8386</v>
      </c>
      <c r="C82" s="52">
        <v>81.891900000000007</v>
      </c>
      <c r="D82" s="52">
        <v>0</v>
      </c>
      <c r="E82" s="52">
        <v>0</v>
      </c>
      <c r="F82" s="52">
        <v>245.67580000000001</v>
      </c>
      <c r="G82" s="52">
        <v>81.891900000000007</v>
      </c>
      <c r="H82" s="52">
        <v>81.891900000000007</v>
      </c>
      <c r="I82" s="52">
        <v>163.78389999999999</v>
      </c>
      <c r="J82" s="52">
        <v>163.78389999999999</v>
      </c>
      <c r="K82" s="52">
        <v>491.35160000000002</v>
      </c>
      <c r="L82" s="52">
        <v>163.78389999999999</v>
      </c>
      <c r="M82" s="52">
        <v>163.78389999999999</v>
      </c>
      <c r="N82" s="5" t="s">
        <v>69</v>
      </c>
    </row>
    <row r="83" spans="1:14" x14ac:dyDescent="0.25">
      <c r="A83" s="51">
        <v>0.872</v>
      </c>
      <c r="B83" s="52">
        <v>1639.7190000000001</v>
      </c>
      <c r="C83" s="52">
        <v>81.985900000000001</v>
      </c>
      <c r="D83" s="52">
        <v>0</v>
      </c>
      <c r="E83" s="52">
        <v>0</v>
      </c>
      <c r="F83" s="52">
        <v>245.95779999999999</v>
      </c>
      <c r="G83" s="52">
        <v>81.985900000000001</v>
      </c>
      <c r="H83" s="52">
        <v>81.985900000000001</v>
      </c>
      <c r="I83" s="52">
        <v>163.97190000000001</v>
      </c>
      <c r="J83" s="52">
        <v>163.97190000000001</v>
      </c>
      <c r="K83" s="52">
        <v>491.91570000000002</v>
      </c>
      <c r="L83" s="52">
        <v>163.97190000000001</v>
      </c>
      <c r="M83" s="52">
        <v>163.97190000000001</v>
      </c>
      <c r="N83" s="5" t="s">
        <v>69</v>
      </c>
    </row>
    <row r="84" spans="1:14" x14ac:dyDescent="0.25">
      <c r="A84" s="51">
        <v>0.873</v>
      </c>
      <c r="B84" s="52">
        <v>1641.5994000000001</v>
      </c>
      <c r="C84" s="52">
        <v>82.08</v>
      </c>
      <c r="D84" s="52">
        <v>0</v>
      </c>
      <c r="E84" s="52">
        <v>0</v>
      </c>
      <c r="F84" s="52">
        <v>246.23990000000001</v>
      </c>
      <c r="G84" s="52">
        <v>82.08</v>
      </c>
      <c r="H84" s="52">
        <v>82.08</v>
      </c>
      <c r="I84" s="52">
        <v>164.15989999999999</v>
      </c>
      <c r="J84" s="52">
        <v>164.15989999999999</v>
      </c>
      <c r="K84" s="52">
        <v>492.47980000000001</v>
      </c>
      <c r="L84" s="52">
        <v>164.15989999999999</v>
      </c>
      <c r="M84" s="52">
        <v>164.15989999999999</v>
      </c>
      <c r="N84" s="5" t="s">
        <v>69</v>
      </c>
    </row>
    <row r="85" spans="1:14" x14ac:dyDescent="0.25">
      <c r="A85" s="51">
        <v>0.874</v>
      </c>
      <c r="B85" s="52">
        <v>1643.4798000000001</v>
      </c>
      <c r="C85" s="52">
        <v>82.174000000000007</v>
      </c>
      <c r="D85" s="52">
        <v>0</v>
      </c>
      <c r="E85" s="52">
        <v>0</v>
      </c>
      <c r="F85" s="52">
        <v>246.52199999999999</v>
      </c>
      <c r="G85" s="52">
        <v>82.174000000000007</v>
      </c>
      <c r="H85" s="52">
        <v>82.174000000000007</v>
      </c>
      <c r="I85" s="52">
        <v>164.34800000000001</v>
      </c>
      <c r="J85" s="52">
        <v>164.34800000000001</v>
      </c>
      <c r="K85" s="52">
        <v>493.04390000000001</v>
      </c>
      <c r="L85" s="52">
        <v>164.34800000000001</v>
      </c>
      <c r="M85" s="52">
        <v>164.34800000000001</v>
      </c>
      <c r="N85" s="5" t="s">
        <v>69</v>
      </c>
    </row>
    <row r="86" spans="1:14" x14ac:dyDescent="0.25">
      <c r="A86" s="51">
        <v>0.875</v>
      </c>
      <c r="B86" s="52">
        <v>1645.3602000000001</v>
      </c>
      <c r="C86" s="52">
        <v>82.268000000000001</v>
      </c>
      <c r="D86" s="52">
        <v>0</v>
      </c>
      <c r="E86" s="52">
        <v>0</v>
      </c>
      <c r="F86" s="52">
        <v>246.804</v>
      </c>
      <c r="G86" s="52">
        <v>82.268000000000001</v>
      </c>
      <c r="H86" s="52">
        <v>82.268000000000001</v>
      </c>
      <c r="I86" s="52">
        <v>164.536</v>
      </c>
      <c r="J86" s="52">
        <v>164.536</v>
      </c>
      <c r="K86" s="52">
        <v>493.60809999999998</v>
      </c>
      <c r="L86" s="52">
        <v>164.536</v>
      </c>
      <c r="M86" s="52">
        <v>164.536</v>
      </c>
      <c r="N86" s="5" t="s">
        <v>69</v>
      </c>
    </row>
    <row r="87" spans="1:14" x14ac:dyDescent="0.25">
      <c r="A87" s="51">
        <v>0.876</v>
      </c>
      <c r="B87" s="52">
        <v>1647.2406000000001</v>
      </c>
      <c r="C87" s="52">
        <v>82.361999999999995</v>
      </c>
      <c r="D87" s="52">
        <v>0</v>
      </c>
      <c r="E87" s="52">
        <v>0</v>
      </c>
      <c r="F87" s="52">
        <v>247.08609999999999</v>
      </c>
      <c r="G87" s="52">
        <v>82.361999999999995</v>
      </c>
      <c r="H87" s="52">
        <v>82.361999999999995</v>
      </c>
      <c r="I87" s="52">
        <v>164.72409999999999</v>
      </c>
      <c r="J87" s="52">
        <v>164.72409999999999</v>
      </c>
      <c r="K87" s="52">
        <v>494.17219999999998</v>
      </c>
      <c r="L87" s="52">
        <v>164.72409999999999</v>
      </c>
      <c r="M87" s="52">
        <v>164.72409999999999</v>
      </c>
      <c r="N87" s="5" t="s">
        <v>69</v>
      </c>
    </row>
    <row r="88" spans="1:14" x14ac:dyDescent="0.25">
      <c r="A88" s="51">
        <v>0.877</v>
      </c>
      <c r="B88" s="52">
        <v>1649.1210000000001</v>
      </c>
      <c r="C88" s="52">
        <v>82.456100000000006</v>
      </c>
      <c r="D88" s="52">
        <v>0</v>
      </c>
      <c r="E88" s="52">
        <v>0</v>
      </c>
      <c r="F88" s="52">
        <v>247.3682</v>
      </c>
      <c r="G88" s="52">
        <v>82.456100000000006</v>
      </c>
      <c r="H88" s="52">
        <v>82.456100000000006</v>
      </c>
      <c r="I88" s="52">
        <v>164.91210000000001</v>
      </c>
      <c r="J88" s="52">
        <v>164.91210000000001</v>
      </c>
      <c r="K88" s="52">
        <v>494.73630000000003</v>
      </c>
      <c r="L88" s="52">
        <v>164.91210000000001</v>
      </c>
      <c r="M88" s="52">
        <v>164.91210000000001</v>
      </c>
      <c r="N88" s="5" t="s">
        <v>69</v>
      </c>
    </row>
    <row r="89" spans="1:14" x14ac:dyDescent="0.25">
      <c r="A89" s="51">
        <v>0.878</v>
      </c>
      <c r="B89" s="52">
        <v>1651.0014000000001</v>
      </c>
      <c r="C89" s="52">
        <v>82.5501</v>
      </c>
      <c r="D89" s="52">
        <v>0</v>
      </c>
      <c r="E89" s="52">
        <v>0</v>
      </c>
      <c r="F89" s="52">
        <v>247.65020000000001</v>
      </c>
      <c r="G89" s="52">
        <v>82.5501</v>
      </c>
      <c r="H89" s="52">
        <v>82.5501</v>
      </c>
      <c r="I89" s="52">
        <v>165.1001</v>
      </c>
      <c r="J89" s="52">
        <v>165.1001</v>
      </c>
      <c r="K89" s="52">
        <v>495.30040000000002</v>
      </c>
      <c r="L89" s="52">
        <v>165.1001</v>
      </c>
      <c r="M89" s="52">
        <v>165.1001</v>
      </c>
      <c r="N89" s="5" t="s">
        <v>69</v>
      </c>
    </row>
    <row r="90" spans="1:14" x14ac:dyDescent="0.25">
      <c r="A90" s="51">
        <v>0.879</v>
      </c>
      <c r="B90" s="52">
        <v>1652.8819000000001</v>
      </c>
      <c r="C90" s="52">
        <v>82.644099999999995</v>
      </c>
      <c r="D90" s="52">
        <v>0</v>
      </c>
      <c r="E90" s="52">
        <v>0</v>
      </c>
      <c r="F90" s="52">
        <v>247.9323</v>
      </c>
      <c r="G90" s="52">
        <v>82.644099999999995</v>
      </c>
      <c r="H90" s="52">
        <v>82.644099999999995</v>
      </c>
      <c r="I90" s="52">
        <v>165.28819999999999</v>
      </c>
      <c r="J90" s="52">
        <v>165.28819999999999</v>
      </c>
      <c r="K90" s="52">
        <v>495.8646</v>
      </c>
      <c r="L90" s="52">
        <v>165.28819999999999</v>
      </c>
      <c r="M90" s="52">
        <v>165.28819999999999</v>
      </c>
      <c r="N90" s="5" t="s">
        <v>69</v>
      </c>
    </row>
    <row r="91" spans="1:14" x14ac:dyDescent="0.25">
      <c r="A91" s="51">
        <v>0.88</v>
      </c>
      <c r="B91" s="52">
        <v>1654.7623000000001</v>
      </c>
      <c r="C91" s="52">
        <v>82.738100000000003</v>
      </c>
      <c r="D91" s="52">
        <v>0</v>
      </c>
      <c r="E91" s="52">
        <v>0</v>
      </c>
      <c r="F91" s="52">
        <v>248.21430000000001</v>
      </c>
      <c r="G91" s="52">
        <v>82.738100000000003</v>
      </c>
      <c r="H91" s="52">
        <v>82.738100000000003</v>
      </c>
      <c r="I91" s="52">
        <v>165.47620000000001</v>
      </c>
      <c r="J91" s="52">
        <v>165.47620000000001</v>
      </c>
      <c r="K91" s="52">
        <v>496.42869999999999</v>
      </c>
      <c r="L91" s="52">
        <v>165.47620000000001</v>
      </c>
      <c r="M91" s="52">
        <v>165.47620000000001</v>
      </c>
      <c r="N91" s="5" t="s">
        <v>69</v>
      </c>
    </row>
    <row r="92" spans="1:14" x14ac:dyDescent="0.25">
      <c r="A92" s="51">
        <v>0.88100000000000001</v>
      </c>
      <c r="B92" s="52">
        <v>1656.6427000000001</v>
      </c>
      <c r="C92" s="52">
        <v>82.832099999999997</v>
      </c>
      <c r="D92" s="52">
        <v>0</v>
      </c>
      <c r="E92" s="52">
        <v>0</v>
      </c>
      <c r="F92" s="52">
        <v>248.49639999999999</v>
      </c>
      <c r="G92" s="52">
        <v>82.832099999999997</v>
      </c>
      <c r="H92" s="52">
        <v>82.832099999999997</v>
      </c>
      <c r="I92" s="52">
        <v>165.6643</v>
      </c>
      <c r="J92" s="52">
        <v>165.6643</v>
      </c>
      <c r="K92" s="52">
        <v>496.99279999999999</v>
      </c>
      <c r="L92" s="52">
        <v>165.6643</v>
      </c>
      <c r="M92" s="52">
        <v>165.6643</v>
      </c>
      <c r="N92" s="5" t="s">
        <v>69</v>
      </c>
    </row>
    <row r="93" spans="1:14" x14ac:dyDescent="0.25">
      <c r="A93" s="51">
        <v>0.88200000000000001</v>
      </c>
      <c r="B93" s="52">
        <v>1658.5231000000001</v>
      </c>
      <c r="C93" s="52">
        <v>82.926199999999994</v>
      </c>
      <c r="D93" s="52">
        <v>0</v>
      </c>
      <c r="E93" s="52">
        <v>0</v>
      </c>
      <c r="F93" s="52">
        <v>248.77850000000001</v>
      </c>
      <c r="G93" s="52">
        <v>82.926199999999994</v>
      </c>
      <c r="H93" s="52">
        <v>82.926199999999994</v>
      </c>
      <c r="I93" s="52">
        <v>165.85230000000001</v>
      </c>
      <c r="J93" s="52">
        <v>165.85230000000001</v>
      </c>
      <c r="K93" s="52">
        <v>497.55689999999998</v>
      </c>
      <c r="L93" s="52">
        <v>165.85230000000001</v>
      </c>
      <c r="M93" s="52">
        <v>165.85230000000001</v>
      </c>
      <c r="N93" s="5" t="s">
        <v>69</v>
      </c>
    </row>
    <row r="94" spans="1:14" x14ac:dyDescent="0.25">
      <c r="A94" s="51">
        <v>0.88300000000000001</v>
      </c>
      <c r="B94" s="52">
        <v>1660.4034999999999</v>
      </c>
      <c r="C94" s="52">
        <v>83.020200000000003</v>
      </c>
      <c r="D94" s="52">
        <v>0</v>
      </c>
      <c r="E94" s="52">
        <v>0</v>
      </c>
      <c r="F94" s="52">
        <v>249.06049999999999</v>
      </c>
      <c r="G94" s="52">
        <v>83.020200000000003</v>
      </c>
      <c r="H94" s="52">
        <v>83.020200000000003</v>
      </c>
      <c r="I94" s="52">
        <v>166.0403</v>
      </c>
      <c r="J94" s="52">
        <v>166.0403</v>
      </c>
      <c r="K94" s="52">
        <v>498.12099999999998</v>
      </c>
      <c r="L94" s="52">
        <v>166.0403</v>
      </c>
      <c r="M94" s="52">
        <v>166.0403</v>
      </c>
      <c r="N94" s="5" t="s">
        <v>69</v>
      </c>
    </row>
    <row r="95" spans="1:14" x14ac:dyDescent="0.25">
      <c r="A95" s="51">
        <v>0.88400000000000001</v>
      </c>
      <c r="B95" s="52">
        <v>1662.2838999999999</v>
      </c>
      <c r="C95" s="52">
        <v>83.114199999999997</v>
      </c>
      <c r="D95" s="52">
        <v>0</v>
      </c>
      <c r="E95" s="52">
        <v>0</v>
      </c>
      <c r="F95" s="52">
        <v>249.3426</v>
      </c>
      <c r="G95" s="52">
        <v>83.114199999999997</v>
      </c>
      <c r="H95" s="52">
        <v>83.114199999999997</v>
      </c>
      <c r="I95" s="52">
        <v>166.22839999999999</v>
      </c>
      <c r="J95" s="52">
        <v>166.22839999999999</v>
      </c>
      <c r="K95" s="52">
        <v>498.68520000000001</v>
      </c>
      <c r="L95" s="52">
        <v>166.22839999999999</v>
      </c>
      <c r="M95" s="52">
        <v>166.22839999999999</v>
      </c>
      <c r="N95" s="5" t="s">
        <v>69</v>
      </c>
    </row>
    <row r="96" spans="1:14" x14ac:dyDescent="0.25">
      <c r="A96" s="51">
        <v>0.88500000000000001</v>
      </c>
      <c r="B96" s="52">
        <v>1664.1642999999999</v>
      </c>
      <c r="C96" s="52">
        <v>83.208200000000005</v>
      </c>
      <c r="D96" s="52">
        <v>0</v>
      </c>
      <c r="E96" s="52">
        <v>0</v>
      </c>
      <c r="F96" s="52">
        <v>249.62459999999999</v>
      </c>
      <c r="G96" s="52">
        <v>83.208200000000005</v>
      </c>
      <c r="H96" s="52">
        <v>83.208200000000005</v>
      </c>
      <c r="I96" s="52">
        <v>166.41640000000001</v>
      </c>
      <c r="J96" s="52">
        <v>166.41640000000001</v>
      </c>
      <c r="K96" s="52">
        <v>499.24930000000001</v>
      </c>
      <c r="L96" s="52">
        <v>166.41640000000001</v>
      </c>
      <c r="M96" s="52">
        <v>166.41640000000001</v>
      </c>
      <c r="N96" s="5" t="s">
        <v>69</v>
      </c>
    </row>
    <row r="97" spans="1:14" x14ac:dyDescent="0.25">
      <c r="A97" s="51">
        <v>0.88600000000000001</v>
      </c>
      <c r="B97" s="52">
        <v>1666.0446999999999</v>
      </c>
      <c r="C97" s="52">
        <v>83.302199999999999</v>
      </c>
      <c r="D97" s="52">
        <v>0</v>
      </c>
      <c r="E97" s="52">
        <v>0</v>
      </c>
      <c r="F97" s="52">
        <v>249.9067</v>
      </c>
      <c r="G97" s="52">
        <v>83.302199999999999</v>
      </c>
      <c r="H97" s="52">
        <v>83.302199999999999</v>
      </c>
      <c r="I97" s="52">
        <v>166.6045</v>
      </c>
      <c r="J97" s="52">
        <v>166.6045</v>
      </c>
      <c r="K97" s="52">
        <v>499.8134</v>
      </c>
      <c r="L97" s="52">
        <v>166.6045</v>
      </c>
      <c r="M97" s="52">
        <v>166.6045</v>
      </c>
      <c r="N97" s="5" t="s">
        <v>69</v>
      </c>
    </row>
    <row r="98" spans="1:14" x14ac:dyDescent="0.25">
      <c r="A98" s="51">
        <v>0.88700000000000001</v>
      </c>
      <c r="B98" s="52">
        <v>1667.9250999999999</v>
      </c>
      <c r="C98" s="52">
        <v>83.396299999999997</v>
      </c>
      <c r="D98" s="52">
        <v>0</v>
      </c>
      <c r="E98" s="52">
        <v>0</v>
      </c>
      <c r="F98" s="52">
        <v>250.18879999999999</v>
      </c>
      <c r="G98" s="52">
        <v>83.396299999999997</v>
      </c>
      <c r="H98" s="52">
        <v>83.396299999999997</v>
      </c>
      <c r="I98" s="52">
        <v>166.79249999999999</v>
      </c>
      <c r="J98" s="52">
        <v>166.79249999999999</v>
      </c>
      <c r="K98" s="52">
        <v>500.3775</v>
      </c>
      <c r="L98" s="52">
        <v>166.79249999999999</v>
      </c>
      <c r="M98" s="52">
        <v>166.79249999999999</v>
      </c>
      <c r="N98" s="5" t="s">
        <v>69</v>
      </c>
    </row>
    <row r="99" spans="1:14" x14ac:dyDescent="0.25">
      <c r="A99" s="51">
        <v>0.88800000000000001</v>
      </c>
      <c r="B99" s="52">
        <v>1669.8055999999999</v>
      </c>
      <c r="C99" s="52">
        <v>83.490300000000005</v>
      </c>
      <c r="D99" s="52">
        <v>0</v>
      </c>
      <c r="E99" s="52">
        <v>0</v>
      </c>
      <c r="F99" s="52">
        <v>250.4708</v>
      </c>
      <c r="G99" s="52">
        <v>83.490300000000005</v>
      </c>
      <c r="H99" s="52">
        <v>83.490300000000005</v>
      </c>
      <c r="I99" s="52">
        <v>166.98060000000001</v>
      </c>
      <c r="J99" s="52">
        <v>166.98060000000001</v>
      </c>
      <c r="K99" s="52">
        <v>500.94170000000003</v>
      </c>
      <c r="L99" s="52">
        <v>166.98060000000001</v>
      </c>
      <c r="M99" s="52">
        <v>166.98060000000001</v>
      </c>
      <c r="N99" s="5" t="s">
        <v>69</v>
      </c>
    </row>
    <row r="100" spans="1:14" x14ac:dyDescent="0.25">
      <c r="A100" s="51">
        <v>0.88900000000000001</v>
      </c>
      <c r="B100" s="52">
        <v>1671.6859999999999</v>
      </c>
      <c r="C100" s="52">
        <v>83.584299999999999</v>
      </c>
      <c r="D100" s="52">
        <v>0</v>
      </c>
      <c r="E100" s="52">
        <v>0</v>
      </c>
      <c r="F100" s="52">
        <v>250.75290000000001</v>
      </c>
      <c r="G100" s="52">
        <v>83.584299999999999</v>
      </c>
      <c r="H100" s="52">
        <v>83.584299999999999</v>
      </c>
      <c r="I100" s="52">
        <v>167.1686</v>
      </c>
      <c r="J100" s="52">
        <v>167.1686</v>
      </c>
      <c r="K100" s="52">
        <v>501.50580000000002</v>
      </c>
      <c r="L100" s="52">
        <v>167.1686</v>
      </c>
      <c r="M100" s="52">
        <v>167.1686</v>
      </c>
      <c r="N100" s="5" t="s">
        <v>69</v>
      </c>
    </row>
    <row r="101" spans="1:14" x14ac:dyDescent="0.25">
      <c r="A101" s="51">
        <v>0.89</v>
      </c>
      <c r="B101" s="52">
        <v>1673.5663999999999</v>
      </c>
      <c r="C101" s="52">
        <v>83.678299999999993</v>
      </c>
      <c r="D101" s="52">
        <v>0</v>
      </c>
      <c r="E101" s="52">
        <v>0</v>
      </c>
      <c r="F101" s="52">
        <v>251.035</v>
      </c>
      <c r="G101" s="52">
        <v>83.678299999999993</v>
      </c>
      <c r="H101" s="52">
        <v>83.678299999999993</v>
      </c>
      <c r="I101" s="52">
        <v>167.35659999999999</v>
      </c>
      <c r="J101" s="52">
        <v>167.35659999999999</v>
      </c>
      <c r="K101" s="52">
        <v>502.06990000000002</v>
      </c>
      <c r="L101" s="52">
        <v>167.35659999999999</v>
      </c>
      <c r="M101" s="52">
        <v>167.35659999999999</v>
      </c>
      <c r="N101" s="5" t="s">
        <v>69</v>
      </c>
    </row>
    <row r="102" spans="1:14" x14ac:dyDescent="0.25">
      <c r="A102" s="51">
        <v>0.89100000000000001</v>
      </c>
      <c r="B102" s="52">
        <v>1675.4467999999999</v>
      </c>
      <c r="C102" s="52">
        <v>83.772300000000001</v>
      </c>
      <c r="D102" s="52">
        <v>0</v>
      </c>
      <c r="E102" s="52">
        <v>0</v>
      </c>
      <c r="F102" s="52">
        <v>251.31700000000001</v>
      </c>
      <c r="G102" s="52">
        <v>83.772300000000001</v>
      </c>
      <c r="H102" s="52">
        <v>83.772300000000001</v>
      </c>
      <c r="I102" s="52">
        <v>167.54470000000001</v>
      </c>
      <c r="J102" s="52">
        <v>167.54470000000001</v>
      </c>
      <c r="K102" s="52">
        <v>502.63400000000001</v>
      </c>
      <c r="L102" s="52">
        <v>167.54470000000001</v>
      </c>
      <c r="M102" s="52">
        <v>167.54470000000001</v>
      </c>
      <c r="N102" s="5" t="s">
        <v>69</v>
      </c>
    </row>
    <row r="103" spans="1:14" x14ac:dyDescent="0.25">
      <c r="A103" s="51">
        <v>0.89200000000000002</v>
      </c>
      <c r="B103" s="52">
        <v>1677.3271999999999</v>
      </c>
      <c r="C103" s="52">
        <v>83.866399999999999</v>
      </c>
      <c r="D103" s="52">
        <v>0</v>
      </c>
      <c r="E103" s="52">
        <v>0</v>
      </c>
      <c r="F103" s="52">
        <v>251.59909999999999</v>
      </c>
      <c r="G103" s="52">
        <v>83.866399999999999</v>
      </c>
      <c r="H103" s="52">
        <v>83.866399999999999</v>
      </c>
      <c r="I103" s="52">
        <v>167.73269999999999</v>
      </c>
      <c r="J103" s="52">
        <v>167.73269999999999</v>
      </c>
      <c r="K103" s="52">
        <v>503.19819999999999</v>
      </c>
      <c r="L103" s="52">
        <v>167.73269999999999</v>
      </c>
      <c r="M103" s="52">
        <v>167.73269999999999</v>
      </c>
      <c r="N103" s="5" t="s">
        <v>69</v>
      </c>
    </row>
    <row r="104" spans="1:14" x14ac:dyDescent="0.25">
      <c r="A104" s="51">
        <v>0.89300000000000002</v>
      </c>
      <c r="B104" s="52">
        <v>1679.2076</v>
      </c>
      <c r="C104" s="52">
        <v>83.960400000000007</v>
      </c>
      <c r="D104" s="52">
        <v>0</v>
      </c>
      <c r="E104" s="52">
        <v>0</v>
      </c>
      <c r="F104" s="52">
        <v>251.8811</v>
      </c>
      <c r="G104" s="52">
        <v>83.960400000000007</v>
      </c>
      <c r="H104" s="52">
        <v>83.960400000000007</v>
      </c>
      <c r="I104" s="52">
        <v>167.92080000000001</v>
      </c>
      <c r="J104" s="52">
        <v>167.92080000000001</v>
      </c>
      <c r="K104" s="52">
        <v>503.76229999999998</v>
      </c>
      <c r="L104" s="52">
        <v>167.92080000000001</v>
      </c>
      <c r="M104" s="52">
        <v>167.92080000000001</v>
      </c>
      <c r="N104" s="5" t="s">
        <v>69</v>
      </c>
    </row>
    <row r="105" spans="1:14" x14ac:dyDescent="0.25">
      <c r="A105" s="51">
        <v>0.89400000000000002</v>
      </c>
      <c r="B105" s="52">
        <v>1681.088</v>
      </c>
      <c r="C105" s="52">
        <v>84.054400000000001</v>
      </c>
      <c r="D105" s="52">
        <v>0</v>
      </c>
      <c r="E105" s="52">
        <v>0</v>
      </c>
      <c r="F105" s="52">
        <v>252.16319999999999</v>
      </c>
      <c r="G105" s="52">
        <v>84.054400000000001</v>
      </c>
      <c r="H105" s="52">
        <v>84.054400000000001</v>
      </c>
      <c r="I105" s="52">
        <v>168.1088</v>
      </c>
      <c r="J105" s="52">
        <v>168.1088</v>
      </c>
      <c r="K105" s="52">
        <v>504.32639999999998</v>
      </c>
      <c r="L105" s="52">
        <v>168.1088</v>
      </c>
      <c r="M105" s="52">
        <v>168.1088</v>
      </c>
      <c r="N105" s="5" t="s">
        <v>69</v>
      </c>
    </row>
    <row r="106" spans="1:14" x14ac:dyDescent="0.25">
      <c r="A106" s="51">
        <v>0.89500000000000002</v>
      </c>
      <c r="B106" s="52">
        <v>1682.9684</v>
      </c>
      <c r="C106" s="52">
        <v>84.148399999999995</v>
      </c>
      <c r="D106" s="52">
        <v>0</v>
      </c>
      <c r="E106" s="52">
        <v>0</v>
      </c>
      <c r="F106" s="52">
        <v>252.4453</v>
      </c>
      <c r="G106" s="52">
        <v>84.148399999999995</v>
      </c>
      <c r="H106" s="52">
        <v>84.148399999999995</v>
      </c>
      <c r="I106" s="52">
        <v>168.29679999999999</v>
      </c>
      <c r="J106" s="52">
        <v>168.29679999999999</v>
      </c>
      <c r="K106" s="52">
        <v>504.89049999999997</v>
      </c>
      <c r="L106" s="52">
        <v>168.29679999999999</v>
      </c>
      <c r="M106" s="52">
        <v>168.29679999999999</v>
      </c>
      <c r="N106" s="5" t="s">
        <v>69</v>
      </c>
    </row>
    <row r="107" spans="1:14" x14ac:dyDescent="0.25">
      <c r="A107" s="51">
        <v>0.89600000000000002</v>
      </c>
      <c r="B107" s="52">
        <v>1684.8489</v>
      </c>
      <c r="C107" s="52">
        <v>84.242400000000004</v>
      </c>
      <c r="D107" s="52">
        <v>0</v>
      </c>
      <c r="E107" s="52">
        <v>0</v>
      </c>
      <c r="F107" s="52">
        <v>252.72730000000001</v>
      </c>
      <c r="G107" s="52">
        <v>84.242400000000004</v>
      </c>
      <c r="H107" s="52">
        <v>84.242400000000004</v>
      </c>
      <c r="I107" s="52">
        <v>168.48490000000001</v>
      </c>
      <c r="J107" s="52">
        <v>168.48490000000001</v>
      </c>
      <c r="K107" s="52">
        <v>505.4547</v>
      </c>
      <c r="L107" s="52">
        <v>168.48490000000001</v>
      </c>
      <c r="M107" s="52">
        <v>168.48490000000001</v>
      </c>
      <c r="N107" s="5" t="s">
        <v>69</v>
      </c>
    </row>
    <row r="108" spans="1:14" x14ac:dyDescent="0.25">
      <c r="A108" s="51">
        <v>0.89700000000000002</v>
      </c>
      <c r="B108" s="52">
        <v>1686.7293</v>
      </c>
      <c r="C108" s="52">
        <v>84.336500000000001</v>
      </c>
      <c r="D108" s="52">
        <v>0</v>
      </c>
      <c r="E108" s="52">
        <v>0</v>
      </c>
      <c r="F108" s="52">
        <v>253.0094</v>
      </c>
      <c r="G108" s="52">
        <v>84.336500000000001</v>
      </c>
      <c r="H108" s="52">
        <v>84.336500000000001</v>
      </c>
      <c r="I108" s="52">
        <v>168.6729</v>
      </c>
      <c r="J108" s="52">
        <v>168.6729</v>
      </c>
      <c r="K108" s="52">
        <v>506.0188</v>
      </c>
      <c r="L108" s="52">
        <v>168.6729</v>
      </c>
      <c r="M108" s="52">
        <v>168.6729</v>
      </c>
      <c r="N108" s="5" t="s">
        <v>69</v>
      </c>
    </row>
    <row r="109" spans="1:14" x14ac:dyDescent="0.25">
      <c r="A109" s="51">
        <v>0.89800000000000002</v>
      </c>
      <c r="B109" s="52">
        <v>1688.6097</v>
      </c>
      <c r="C109" s="52">
        <v>84.430499999999995</v>
      </c>
      <c r="D109" s="52">
        <v>0</v>
      </c>
      <c r="E109" s="52">
        <v>0</v>
      </c>
      <c r="F109" s="52">
        <v>253.29150000000001</v>
      </c>
      <c r="G109" s="52">
        <v>84.430499999999995</v>
      </c>
      <c r="H109" s="52">
        <v>84.430499999999995</v>
      </c>
      <c r="I109" s="52">
        <v>168.86099999999999</v>
      </c>
      <c r="J109" s="52">
        <v>168.86099999999999</v>
      </c>
      <c r="K109" s="52">
        <v>506.5829</v>
      </c>
      <c r="L109" s="52">
        <v>168.86099999999999</v>
      </c>
      <c r="M109" s="52">
        <v>168.86099999999999</v>
      </c>
      <c r="N109" s="5" t="s">
        <v>69</v>
      </c>
    </row>
    <row r="110" spans="1:14" x14ac:dyDescent="0.25">
      <c r="A110" s="51">
        <v>0.89900000000000002</v>
      </c>
      <c r="B110" s="52">
        <v>1690.4901</v>
      </c>
      <c r="C110" s="52">
        <v>84.524500000000003</v>
      </c>
      <c r="D110" s="52">
        <v>0</v>
      </c>
      <c r="E110" s="52">
        <v>0</v>
      </c>
      <c r="F110" s="52">
        <v>253.5735</v>
      </c>
      <c r="G110" s="52">
        <v>84.524500000000003</v>
      </c>
      <c r="H110" s="52">
        <v>84.524500000000003</v>
      </c>
      <c r="I110" s="52">
        <v>169.04900000000001</v>
      </c>
      <c r="J110" s="52">
        <v>169.04900000000001</v>
      </c>
      <c r="K110" s="52">
        <v>507.14699999999999</v>
      </c>
      <c r="L110" s="52">
        <v>169.04900000000001</v>
      </c>
      <c r="M110" s="52">
        <v>169.04900000000001</v>
      </c>
      <c r="N110" s="5" t="s">
        <v>69</v>
      </c>
    </row>
    <row r="111" spans="1:14" x14ac:dyDescent="0.25">
      <c r="A111" s="51">
        <v>0.9</v>
      </c>
      <c r="B111" s="52">
        <v>2538.5556999999999</v>
      </c>
      <c r="C111" s="52">
        <v>126.9278</v>
      </c>
      <c r="D111" s="52">
        <v>0</v>
      </c>
      <c r="E111" s="52">
        <v>0</v>
      </c>
      <c r="F111" s="52">
        <v>380.78339999999997</v>
      </c>
      <c r="G111" s="52">
        <v>126.9278</v>
      </c>
      <c r="H111" s="52">
        <v>126.9278</v>
      </c>
      <c r="I111" s="52">
        <v>253.85560000000001</v>
      </c>
      <c r="J111" s="52">
        <v>253.85560000000001</v>
      </c>
      <c r="K111" s="52">
        <v>761.56669999999997</v>
      </c>
      <c r="L111" s="52">
        <v>253.85560000000001</v>
      </c>
      <c r="M111" s="52">
        <v>253.85560000000001</v>
      </c>
      <c r="N111" s="5" t="s">
        <v>69</v>
      </c>
    </row>
    <row r="112" spans="1:14" x14ac:dyDescent="0.25">
      <c r="A112" s="51">
        <v>0.90100000000000002</v>
      </c>
      <c r="B112" s="52">
        <v>2541.3764000000001</v>
      </c>
      <c r="C112" s="52">
        <v>127.0688</v>
      </c>
      <c r="D112" s="52">
        <v>0</v>
      </c>
      <c r="E112" s="52">
        <v>0</v>
      </c>
      <c r="F112" s="52">
        <v>381.20650000000001</v>
      </c>
      <c r="G112" s="52">
        <v>127.0688</v>
      </c>
      <c r="H112" s="52">
        <v>127.0688</v>
      </c>
      <c r="I112" s="52">
        <v>254.13759999999999</v>
      </c>
      <c r="J112" s="52">
        <v>254.13759999999999</v>
      </c>
      <c r="K112" s="52">
        <v>762.41290000000004</v>
      </c>
      <c r="L112" s="52">
        <v>254.13759999999999</v>
      </c>
      <c r="M112" s="52">
        <v>254.13759999999999</v>
      </c>
      <c r="N112" s="5" t="s">
        <v>69</v>
      </c>
    </row>
    <row r="113" spans="1:14" x14ac:dyDescent="0.25">
      <c r="A113" s="51">
        <v>0.90200000000000002</v>
      </c>
      <c r="B113" s="52">
        <v>2544.1970000000001</v>
      </c>
      <c r="C113" s="52">
        <v>127.2098</v>
      </c>
      <c r="D113" s="52">
        <v>0</v>
      </c>
      <c r="E113" s="52">
        <v>0</v>
      </c>
      <c r="F113" s="52">
        <v>381.62950000000001</v>
      </c>
      <c r="G113" s="52">
        <v>127.2098</v>
      </c>
      <c r="H113" s="52">
        <v>127.2098</v>
      </c>
      <c r="I113" s="52">
        <v>254.41970000000001</v>
      </c>
      <c r="J113" s="52">
        <v>254.41970000000001</v>
      </c>
      <c r="K113" s="52">
        <v>763.25909999999999</v>
      </c>
      <c r="L113" s="52">
        <v>254.41970000000001</v>
      </c>
      <c r="M113" s="52">
        <v>254.41970000000001</v>
      </c>
      <c r="N113" s="5" t="s">
        <v>69</v>
      </c>
    </row>
    <row r="114" spans="1:14" x14ac:dyDescent="0.25">
      <c r="A114" s="51">
        <v>0.90300000000000002</v>
      </c>
      <c r="B114" s="52">
        <v>2547.0176000000001</v>
      </c>
      <c r="C114" s="52">
        <v>127.3509</v>
      </c>
      <c r="D114" s="52">
        <v>0</v>
      </c>
      <c r="E114" s="52">
        <v>0</v>
      </c>
      <c r="F114" s="52">
        <v>382.05259999999998</v>
      </c>
      <c r="G114" s="52">
        <v>127.3509</v>
      </c>
      <c r="H114" s="52">
        <v>127.3509</v>
      </c>
      <c r="I114" s="52">
        <v>254.70179999999999</v>
      </c>
      <c r="J114" s="52">
        <v>254.70179999999999</v>
      </c>
      <c r="K114" s="52">
        <v>764.10530000000006</v>
      </c>
      <c r="L114" s="52">
        <v>254.70179999999999</v>
      </c>
      <c r="M114" s="52">
        <v>254.70179999999999</v>
      </c>
      <c r="N114" s="5" t="s">
        <v>69</v>
      </c>
    </row>
    <row r="115" spans="1:14" x14ac:dyDescent="0.25">
      <c r="A115" s="51">
        <v>0.90400000000000003</v>
      </c>
      <c r="B115" s="52">
        <v>2549.8382000000001</v>
      </c>
      <c r="C115" s="52">
        <v>127.4919</v>
      </c>
      <c r="D115" s="52">
        <v>0</v>
      </c>
      <c r="E115" s="52">
        <v>0</v>
      </c>
      <c r="F115" s="52">
        <v>382.47570000000002</v>
      </c>
      <c r="G115" s="52">
        <v>127.4919</v>
      </c>
      <c r="H115" s="52">
        <v>127.4919</v>
      </c>
      <c r="I115" s="52">
        <v>254.9838</v>
      </c>
      <c r="J115" s="52">
        <v>254.9838</v>
      </c>
      <c r="K115" s="52">
        <v>764.95150000000001</v>
      </c>
      <c r="L115" s="52">
        <v>254.9838</v>
      </c>
      <c r="M115" s="52">
        <v>254.9838</v>
      </c>
      <c r="N115" s="5" t="s">
        <v>69</v>
      </c>
    </row>
    <row r="116" spans="1:14" x14ac:dyDescent="0.25">
      <c r="A116" s="51">
        <v>0.90500000000000003</v>
      </c>
      <c r="B116" s="52">
        <v>2552.6588000000002</v>
      </c>
      <c r="C116" s="52">
        <v>127.63290000000001</v>
      </c>
      <c r="D116" s="52">
        <v>0</v>
      </c>
      <c r="E116" s="52">
        <v>0</v>
      </c>
      <c r="F116" s="52">
        <v>382.89879999999999</v>
      </c>
      <c r="G116" s="52">
        <v>127.63290000000001</v>
      </c>
      <c r="H116" s="52">
        <v>127.63290000000001</v>
      </c>
      <c r="I116" s="52">
        <v>255.26589999999999</v>
      </c>
      <c r="J116" s="52">
        <v>255.26589999999999</v>
      </c>
      <c r="K116" s="52">
        <v>765.79759999999999</v>
      </c>
      <c r="L116" s="52">
        <v>255.26589999999999</v>
      </c>
      <c r="M116" s="52">
        <v>255.26589999999999</v>
      </c>
      <c r="N116" s="5" t="s">
        <v>69</v>
      </c>
    </row>
    <row r="117" spans="1:14" x14ac:dyDescent="0.25">
      <c r="A117" s="51">
        <v>0.90600000000000003</v>
      </c>
      <c r="B117" s="52">
        <v>2555.4794000000002</v>
      </c>
      <c r="C117" s="52">
        <v>127.774</v>
      </c>
      <c r="D117" s="52">
        <v>0</v>
      </c>
      <c r="E117" s="52">
        <v>0</v>
      </c>
      <c r="F117" s="52">
        <v>383.32190000000003</v>
      </c>
      <c r="G117" s="52">
        <v>127.774</v>
      </c>
      <c r="H117" s="52">
        <v>127.774</v>
      </c>
      <c r="I117" s="52">
        <v>255.5479</v>
      </c>
      <c r="J117" s="52">
        <v>255.5479</v>
      </c>
      <c r="K117" s="52">
        <v>766.64380000000006</v>
      </c>
      <c r="L117" s="52">
        <v>255.5479</v>
      </c>
      <c r="M117" s="52">
        <v>255.5479</v>
      </c>
      <c r="N117" s="5" t="s">
        <v>69</v>
      </c>
    </row>
    <row r="118" spans="1:14" x14ac:dyDescent="0.25">
      <c r="A118" s="51">
        <v>0.90700000000000003</v>
      </c>
      <c r="B118" s="52">
        <v>2558.3000999999999</v>
      </c>
      <c r="C118" s="52">
        <v>127.91500000000001</v>
      </c>
      <c r="D118" s="52">
        <v>0</v>
      </c>
      <c r="E118" s="52">
        <v>0</v>
      </c>
      <c r="F118" s="52">
        <v>383.745</v>
      </c>
      <c r="G118" s="52">
        <v>127.91500000000001</v>
      </c>
      <c r="H118" s="52">
        <v>127.91500000000001</v>
      </c>
      <c r="I118" s="52">
        <v>255.83</v>
      </c>
      <c r="J118" s="52">
        <v>255.83</v>
      </c>
      <c r="K118" s="52">
        <v>767.49</v>
      </c>
      <c r="L118" s="52">
        <v>255.83</v>
      </c>
      <c r="M118" s="52">
        <v>255.83</v>
      </c>
      <c r="N118" s="5" t="s">
        <v>69</v>
      </c>
    </row>
    <row r="119" spans="1:14" x14ac:dyDescent="0.25">
      <c r="A119" s="51">
        <v>0.90800000000000003</v>
      </c>
      <c r="B119" s="52">
        <v>2561.1206999999999</v>
      </c>
      <c r="C119" s="52">
        <v>128.05600000000001</v>
      </c>
      <c r="D119" s="52">
        <v>0</v>
      </c>
      <c r="E119" s="52">
        <v>0</v>
      </c>
      <c r="F119" s="52">
        <v>384.16809999999998</v>
      </c>
      <c r="G119" s="52">
        <v>128.05600000000001</v>
      </c>
      <c r="H119" s="52">
        <v>128.05600000000001</v>
      </c>
      <c r="I119" s="52">
        <v>256.1121</v>
      </c>
      <c r="J119" s="52">
        <v>256.1121</v>
      </c>
      <c r="K119" s="52">
        <v>768.33619999999996</v>
      </c>
      <c r="L119" s="52">
        <v>256.1121</v>
      </c>
      <c r="M119" s="52">
        <v>256.1121</v>
      </c>
      <c r="N119" s="5" t="s">
        <v>69</v>
      </c>
    </row>
    <row r="120" spans="1:14" x14ac:dyDescent="0.25">
      <c r="A120" s="51">
        <v>0.90900000000000003</v>
      </c>
      <c r="B120" s="52">
        <v>2563.9413</v>
      </c>
      <c r="C120" s="52">
        <v>128.19710000000001</v>
      </c>
      <c r="D120" s="52">
        <v>0</v>
      </c>
      <c r="E120" s="52">
        <v>0</v>
      </c>
      <c r="F120" s="52">
        <v>384.59120000000001</v>
      </c>
      <c r="G120" s="52">
        <v>128.19710000000001</v>
      </c>
      <c r="H120" s="52">
        <v>128.19710000000001</v>
      </c>
      <c r="I120" s="52">
        <v>256.39409999999998</v>
      </c>
      <c r="J120" s="52">
        <v>256.39409999999998</v>
      </c>
      <c r="K120" s="52">
        <v>769.18240000000003</v>
      </c>
      <c r="L120" s="52">
        <v>256.39409999999998</v>
      </c>
      <c r="M120" s="52">
        <v>256.39409999999998</v>
      </c>
      <c r="N120" s="5" t="s">
        <v>69</v>
      </c>
    </row>
    <row r="121" spans="1:14" x14ac:dyDescent="0.25">
      <c r="A121" s="51">
        <v>0.91</v>
      </c>
      <c r="B121" s="52">
        <v>2566.7619</v>
      </c>
      <c r="C121" s="52">
        <v>128.3381</v>
      </c>
      <c r="D121" s="52">
        <v>0</v>
      </c>
      <c r="E121" s="52">
        <v>0</v>
      </c>
      <c r="F121" s="52">
        <v>385.01429999999999</v>
      </c>
      <c r="G121" s="52">
        <v>128.3381</v>
      </c>
      <c r="H121" s="52">
        <v>128.3381</v>
      </c>
      <c r="I121" s="52">
        <v>256.67619999999999</v>
      </c>
      <c r="J121" s="52">
        <v>256.67619999999999</v>
      </c>
      <c r="K121" s="52">
        <v>770.02859999999998</v>
      </c>
      <c r="L121" s="52">
        <v>256.67619999999999</v>
      </c>
      <c r="M121" s="52">
        <v>256.67619999999999</v>
      </c>
      <c r="N121" s="5" t="s">
        <v>69</v>
      </c>
    </row>
    <row r="122" spans="1:14" x14ac:dyDescent="0.25">
      <c r="A122" s="51">
        <v>0.91100000000000003</v>
      </c>
      <c r="B122" s="52">
        <v>2569.5825</v>
      </c>
      <c r="C122" s="52">
        <v>128.47909999999999</v>
      </c>
      <c r="D122" s="52">
        <v>0</v>
      </c>
      <c r="E122" s="52">
        <v>0</v>
      </c>
      <c r="F122" s="52">
        <v>385.43740000000003</v>
      </c>
      <c r="G122" s="52">
        <v>128.47909999999999</v>
      </c>
      <c r="H122" s="52">
        <v>128.47909999999999</v>
      </c>
      <c r="I122" s="52">
        <v>256.95830000000001</v>
      </c>
      <c r="J122" s="52">
        <v>256.95830000000001</v>
      </c>
      <c r="K122" s="52">
        <v>770.87480000000005</v>
      </c>
      <c r="L122" s="52">
        <v>256.95830000000001</v>
      </c>
      <c r="M122" s="52">
        <v>256.95830000000001</v>
      </c>
      <c r="N122" s="5" t="s">
        <v>69</v>
      </c>
    </row>
    <row r="123" spans="1:14" x14ac:dyDescent="0.25">
      <c r="A123" s="51">
        <v>0.91200000000000003</v>
      </c>
      <c r="B123" s="52">
        <v>2572.4032000000002</v>
      </c>
      <c r="C123" s="52">
        <v>128.62020000000001</v>
      </c>
      <c r="D123" s="52">
        <v>0</v>
      </c>
      <c r="E123" s="52">
        <v>0</v>
      </c>
      <c r="F123" s="52">
        <v>385.8605</v>
      </c>
      <c r="G123" s="52">
        <v>128.62020000000001</v>
      </c>
      <c r="H123" s="52">
        <v>128.62020000000001</v>
      </c>
      <c r="I123" s="52">
        <v>257.24029999999999</v>
      </c>
      <c r="J123" s="52">
        <v>257.24029999999999</v>
      </c>
      <c r="K123" s="52">
        <v>771.72090000000003</v>
      </c>
      <c r="L123" s="52">
        <v>257.24029999999999</v>
      </c>
      <c r="M123" s="52">
        <v>257.24029999999999</v>
      </c>
      <c r="N123" s="5" t="s">
        <v>69</v>
      </c>
    </row>
    <row r="124" spans="1:14" x14ac:dyDescent="0.25">
      <c r="A124" s="51">
        <v>0.91300000000000003</v>
      </c>
      <c r="B124" s="52">
        <v>2575.2238000000002</v>
      </c>
      <c r="C124" s="52">
        <v>128.7612</v>
      </c>
      <c r="D124" s="52">
        <v>0</v>
      </c>
      <c r="E124" s="52">
        <v>0</v>
      </c>
      <c r="F124" s="52">
        <v>386.28359999999998</v>
      </c>
      <c r="G124" s="52">
        <v>128.7612</v>
      </c>
      <c r="H124" s="52">
        <v>128.7612</v>
      </c>
      <c r="I124" s="52">
        <v>257.5224</v>
      </c>
      <c r="J124" s="52">
        <v>257.5224</v>
      </c>
      <c r="K124" s="52">
        <v>772.56709999999998</v>
      </c>
      <c r="L124" s="52">
        <v>257.5224</v>
      </c>
      <c r="M124" s="52">
        <v>257.5224</v>
      </c>
      <c r="N124" s="5" t="s">
        <v>69</v>
      </c>
    </row>
    <row r="125" spans="1:14" x14ac:dyDescent="0.25">
      <c r="A125" s="51">
        <v>0.91400000000000003</v>
      </c>
      <c r="B125" s="52">
        <v>2578.0444000000002</v>
      </c>
      <c r="C125" s="52">
        <v>128.90219999999999</v>
      </c>
      <c r="D125" s="52">
        <v>0</v>
      </c>
      <c r="E125" s="52">
        <v>0</v>
      </c>
      <c r="F125" s="52">
        <v>386.70670000000001</v>
      </c>
      <c r="G125" s="52">
        <v>128.90219999999999</v>
      </c>
      <c r="H125" s="52">
        <v>128.90219999999999</v>
      </c>
      <c r="I125" s="52">
        <v>257.80439999999999</v>
      </c>
      <c r="J125" s="52">
        <v>257.80439999999999</v>
      </c>
      <c r="K125" s="52">
        <v>773.41330000000005</v>
      </c>
      <c r="L125" s="52">
        <v>257.80439999999999</v>
      </c>
      <c r="M125" s="52">
        <v>257.80439999999999</v>
      </c>
      <c r="N125" s="5" t="s">
        <v>69</v>
      </c>
    </row>
    <row r="126" spans="1:14" x14ac:dyDescent="0.25">
      <c r="A126" s="51">
        <v>0.91500000000000004</v>
      </c>
      <c r="B126" s="52">
        <v>2580.8649999999998</v>
      </c>
      <c r="C126" s="52">
        <v>129.04329999999999</v>
      </c>
      <c r="D126" s="52">
        <v>0</v>
      </c>
      <c r="E126" s="52">
        <v>0</v>
      </c>
      <c r="F126" s="52">
        <v>387.12979999999999</v>
      </c>
      <c r="G126" s="52">
        <v>129.04329999999999</v>
      </c>
      <c r="H126" s="52">
        <v>129.04329999999999</v>
      </c>
      <c r="I126" s="52">
        <v>258.0865</v>
      </c>
      <c r="J126" s="52">
        <v>258.0865</v>
      </c>
      <c r="K126" s="52">
        <v>774.2595</v>
      </c>
      <c r="L126" s="52">
        <v>258.0865</v>
      </c>
      <c r="M126" s="52">
        <v>258.0865</v>
      </c>
      <c r="N126" s="5" t="s">
        <v>69</v>
      </c>
    </row>
    <row r="127" spans="1:14" x14ac:dyDescent="0.25">
      <c r="A127" s="51">
        <v>0.91600000000000004</v>
      </c>
      <c r="B127" s="52">
        <v>2583.6855999999998</v>
      </c>
      <c r="C127" s="52">
        <v>129.18430000000001</v>
      </c>
      <c r="D127" s="52">
        <v>0</v>
      </c>
      <c r="E127" s="52">
        <v>0</v>
      </c>
      <c r="F127" s="52">
        <v>387.55279999999999</v>
      </c>
      <c r="G127" s="52">
        <v>129.18430000000001</v>
      </c>
      <c r="H127" s="52">
        <v>129.18430000000001</v>
      </c>
      <c r="I127" s="52">
        <v>258.36860000000001</v>
      </c>
      <c r="J127" s="52">
        <v>258.36860000000001</v>
      </c>
      <c r="K127" s="52">
        <v>775.10569999999996</v>
      </c>
      <c r="L127" s="52">
        <v>258.36860000000001</v>
      </c>
      <c r="M127" s="52">
        <v>258.36860000000001</v>
      </c>
      <c r="N127" s="5" t="s">
        <v>69</v>
      </c>
    </row>
    <row r="128" spans="1:14" x14ac:dyDescent="0.25">
      <c r="A128" s="51">
        <v>0.91700000000000004</v>
      </c>
      <c r="B128" s="52">
        <v>2586.5061999999998</v>
      </c>
      <c r="C128" s="52">
        <v>129.3253</v>
      </c>
      <c r="D128" s="52">
        <v>0</v>
      </c>
      <c r="E128" s="52">
        <v>0</v>
      </c>
      <c r="F128" s="52">
        <v>387.97590000000002</v>
      </c>
      <c r="G128" s="52">
        <v>129.3253</v>
      </c>
      <c r="H128" s="52">
        <v>129.3253</v>
      </c>
      <c r="I128" s="52">
        <v>258.6506</v>
      </c>
      <c r="J128" s="52">
        <v>258.6506</v>
      </c>
      <c r="K128" s="52">
        <v>775.95190000000002</v>
      </c>
      <c r="L128" s="52">
        <v>258.6506</v>
      </c>
      <c r="M128" s="52">
        <v>258.6506</v>
      </c>
      <c r="N128" s="5" t="s">
        <v>69</v>
      </c>
    </row>
    <row r="129" spans="1:14" x14ac:dyDescent="0.25">
      <c r="A129" s="51">
        <v>0.91800000000000004</v>
      </c>
      <c r="B129" s="52">
        <v>2589.3269</v>
      </c>
      <c r="C129" s="52">
        <v>129.46629999999999</v>
      </c>
      <c r="D129" s="52">
        <v>0</v>
      </c>
      <c r="E129" s="52">
        <v>0</v>
      </c>
      <c r="F129" s="52">
        <v>388.399</v>
      </c>
      <c r="G129" s="52">
        <v>129.46629999999999</v>
      </c>
      <c r="H129" s="52">
        <v>129.46629999999999</v>
      </c>
      <c r="I129" s="52">
        <v>258.93270000000001</v>
      </c>
      <c r="J129" s="52">
        <v>258.93270000000001</v>
      </c>
      <c r="K129" s="52">
        <v>776.79809999999998</v>
      </c>
      <c r="L129" s="52">
        <v>258.93270000000001</v>
      </c>
      <c r="M129" s="52">
        <v>258.93270000000001</v>
      </c>
      <c r="N129" s="5" t="s">
        <v>69</v>
      </c>
    </row>
    <row r="130" spans="1:14" x14ac:dyDescent="0.25">
      <c r="A130" s="51">
        <v>0.91900000000000004</v>
      </c>
      <c r="B130" s="52">
        <v>2592.1475</v>
      </c>
      <c r="C130" s="52">
        <v>129.60740000000001</v>
      </c>
      <c r="D130" s="52">
        <v>0</v>
      </c>
      <c r="E130" s="52">
        <v>0</v>
      </c>
      <c r="F130" s="52">
        <v>388.82209999999998</v>
      </c>
      <c r="G130" s="52">
        <v>129.60740000000001</v>
      </c>
      <c r="H130" s="52">
        <v>129.60740000000001</v>
      </c>
      <c r="I130" s="52">
        <v>259.21469999999999</v>
      </c>
      <c r="J130" s="52">
        <v>259.21469999999999</v>
      </c>
      <c r="K130" s="52">
        <v>777.64419999999996</v>
      </c>
      <c r="L130" s="52">
        <v>259.21469999999999</v>
      </c>
      <c r="M130" s="52">
        <v>259.21469999999999</v>
      </c>
      <c r="N130" s="5" t="s">
        <v>69</v>
      </c>
    </row>
    <row r="131" spans="1:14" x14ac:dyDescent="0.25">
      <c r="A131" s="51">
        <v>0.92</v>
      </c>
      <c r="B131" s="52">
        <v>2594.9681</v>
      </c>
      <c r="C131" s="52">
        <v>129.7484</v>
      </c>
      <c r="D131" s="52">
        <v>0</v>
      </c>
      <c r="E131" s="52">
        <v>0</v>
      </c>
      <c r="F131" s="52">
        <v>389.24520000000001</v>
      </c>
      <c r="G131" s="52">
        <v>129.7484</v>
      </c>
      <c r="H131" s="52">
        <v>129.7484</v>
      </c>
      <c r="I131" s="52">
        <v>259.49680000000001</v>
      </c>
      <c r="J131" s="52">
        <v>259.49680000000001</v>
      </c>
      <c r="K131" s="52">
        <v>778.49040000000002</v>
      </c>
      <c r="L131" s="52">
        <v>259.49680000000001</v>
      </c>
      <c r="M131" s="52">
        <v>259.49680000000001</v>
      </c>
      <c r="N131" s="5" t="s">
        <v>69</v>
      </c>
    </row>
    <row r="132" spans="1:14" x14ac:dyDescent="0.25">
      <c r="A132" s="51">
        <v>0.92100000000000004</v>
      </c>
      <c r="B132" s="52">
        <v>2597.7887000000001</v>
      </c>
      <c r="C132" s="52">
        <v>129.88939999999999</v>
      </c>
      <c r="D132" s="52">
        <v>0</v>
      </c>
      <c r="E132" s="52">
        <v>0</v>
      </c>
      <c r="F132" s="52">
        <v>389.66829999999999</v>
      </c>
      <c r="G132" s="52">
        <v>129.88939999999999</v>
      </c>
      <c r="H132" s="52">
        <v>129.88939999999999</v>
      </c>
      <c r="I132" s="52">
        <v>259.77890000000002</v>
      </c>
      <c r="J132" s="52">
        <v>259.77890000000002</v>
      </c>
      <c r="K132" s="52">
        <v>779.33659999999998</v>
      </c>
      <c r="L132" s="52">
        <v>259.77890000000002</v>
      </c>
      <c r="M132" s="52">
        <v>259.77890000000002</v>
      </c>
      <c r="N132" s="5" t="s">
        <v>69</v>
      </c>
    </row>
    <row r="133" spans="1:14" x14ac:dyDescent="0.25">
      <c r="A133" s="51">
        <v>0.92200000000000004</v>
      </c>
      <c r="B133" s="52">
        <v>2600.6093000000001</v>
      </c>
      <c r="C133" s="52">
        <v>130.03049999999999</v>
      </c>
      <c r="D133" s="52">
        <v>0</v>
      </c>
      <c r="E133" s="52">
        <v>0</v>
      </c>
      <c r="F133" s="52">
        <v>390.09140000000002</v>
      </c>
      <c r="G133" s="52">
        <v>130.03049999999999</v>
      </c>
      <c r="H133" s="52">
        <v>130.03049999999999</v>
      </c>
      <c r="I133" s="52">
        <v>260.0609</v>
      </c>
      <c r="J133" s="52">
        <v>260.0609</v>
      </c>
      <c r="K133" s="52">
        <v>780.18280000000004</v>
      </c>
      <c r="L133" s="52">
        <v>260.0609</v>
      </c>
      <c r="M133" s="52">
        <v>260.0609</v>
      </c>
      <c r="N133" s="5" t="s">
        <v>69</v>
      </c>
    </row>
    <row r="134" spans="1:14" x14ac:dyDescent="0.25">
      <c r="A134" s="51">
        <v>0.92300000000000004</v>
      </c>
      <c r="B134" s="52">
        <v>2603.4299000000001</v>
      </c>
      <c r="C134" s="52">
        <v>130.17150000000001</v>
      </c>
      <c r="D134" s="52">
        <v>0</v>
      </c>
      <c r="E134" s="52">
        <v>0</v>
      </c>
      <c r="F134" s="52">
        <v>390.5145</v>
      </c>
      <c r="G134" s="52">
        <v>130.17150000000001</v>
      </c>
      <c r="H134" s="52">
        <v>130.17150000000001</v>
      </c>
      <c r="I134" s="52">
        <v>260.34300000000002</v>
      </c>
      <c r="J134" s="52">
        <v>260.34300000000002</v>
      </c>
      <c r="K134" s="52">
        <v>781.029</v>
      </c>
      <c r="L134" s="52">
        <v>260.34300000000002</v>
      </c>
      <c r="M134" s="52">
        <v>260.34300000000002</v>
      </c>
      <c r="N134" s="5" t="s">
        <v>69</v>
      </c>
    </row>
    <row r="135" spans="1:14" x14ac:dyDescent="0.25">
      <c r="A135" s="51">
        <v>0.92400000000000004</v>
      </c>
      <c r="B135" s="52">
        <v>2606.2505999999998</v>
      </c>
      <c r="C135" s="52">
        <v>130.3125</v>
      </c>
      <c r="D135" s="52">
        <v>0</v>
      </c>
      <c r="E135" s="52">
        <v>0</v>
      </c>
      <c r="F135" s="52">
        <v>390.93759999999997</v>
      </c>
      <c r="G135" s="52">
        <v>130.3125</v>
      </c>
      <c r="H135" s="52">
        <v>130.3125</v>
      </c>
      <c r="I135" s="52">
        <v>260.62509999999997</v>
      </c>
      <c r="J135" s="52">
        <v>260.62509999999997</v>
      </c>
      <c r="K135" s="52">
        <v>781.87519999999995</v>
      </c>
      <c r="L135" s="52">
        <v>260.62509999999997</v>
      </c>
      <c r="M135" s="52">
        <v>260.62509999999997</v>
      </c>
      <c r="N135" s="5" t="s">
        <v>69</v>
      </c>
    </row>
    <row r="136" spans="1:14" x14ac:dyDescent="0.25">
      <c r="A136" s="51">
        <v>0.92500000000000004</v>
      </c>
      <c r="B136" s="52">
        <v>2609.0711999999999</v>
      </c>
      <c r="C136" s="52">
        <v>130.45359999999999</v>
      </c>
      <c r="D136" s="52">
        <v>0</v>
      </c>
      <c r="E136" s="52">
        <v>0</v>
      </c>
      <c r="F136" s="52">
        <v>391.36070000000001</v>
      </c>
      <c r="G136" s="52">
        <v>130.45359999999999</v>
      </c>
      <c r="H136" s="52">
        <v>130.45359999999999</v>
      </c>
      <c r="I136" s="52">
        <v>260.90710000000001</v>
      </c>
      <c r="J136" s="52">
        <v>260.90710000000001</v>
      </c>
      <c r="K136" s="52">
        <v>782.72140000000002</v>
      </c>
      <c r="L136" s="52">
        <v>260.90710000000001</v>
      </c>
      <c r="M136" s="52">
        <v>260.90710000000001</v>
      </c>
      <c r="N136" s="5" t="s">
        <v>69</v>
      </c>
    </row>
    <row r="137" spans="1:14" x14ac:dyDescent="0.25">
      <c r="A137" s="51">
        <v>0.92600000000000005</v>
      </c>
      <c r="B137" s="52">
        <v>2611.8917999999999</v>
      </c>
      <c r="C137" s="52">
        <v>130.59460000000001</v>
      </c>
      <c r="D137" s="52">
        <v>0</v>
      </c>
      <c r="E137" s="52">
        <v>0</v>
      </c>
      <c r="F137" s="52">
        <v>391.78379999999999</v>
      </c>
      <c r="G137" s="52">
        <v>130.59460000000001</v>
      </c>
      <c r="H137" s="52">
        <v>130.59460000000001</v>
      </c>
      <c r="I137" s="52">
        <v>261.18920000000003</v>
      </c>
      <c r="J137" s="52">
        <v>261.18920000000003</v>
      </c>
      <c r="K137" s="52">
        <v>783.5675</v>
      </c>
      <c r="L137" s="52">
        <v>261.18920000000003</v>
      </c>
      <c r="M137" s="52">
        <v>261.18920000000003</v>
      </c>
      <c r="N137" s="5" t="s">
        <v>69</v>
      </c>
    </row>
    <row r="138" spans="1:14" x14ac:dyDescent="0.25">
      <c r="A138" s="51">
        <v>0.92700000000000005</v>
      </c>
      <c r="B138" s="52">
        <v>2614.7123999999999</v>
      </c>
      <c r="C138" s="52">
        <v>130.73560000000001</v>
      </c>
      <c r="D138" s="52">
        <v>0</v>
      </c>
      <c r="E138" s="52">
        <v>0</v>
      </c>
      <c r="F138" s="52">
        <v>392.20690000000002</v>
      </c>
      <c r="G138" s="52">
        <v>130.73560000000001</v>
      </c>
      <c r="H138" s="52">
        <v>130.73560000000001</v>
      </c>
      <c r="I138" s="52">
        <v>261.47120000000001</v>
      </c>
      <c r="J138" s="52">
        <v>261.47120000000001</v>
      </c>
      <c r="K138" s="52">
        <v>784.41369999999995</v>
      </c>
      <c r="L138" s="52">
        <v>261.47120000000001</v>
      </c>
      <c r="M138" s="52">
        <v>261.47120000000001</v>
      </c>
      <c r="N138" s="5" t="s">
        <v>69</v>
      </c>
    </row>
    <row r="139" spans="1:14" x14ac:dyDescent="0.25">
      <c r="A139" s="51">
        <v>0.92800000000000005</v>
      </c>
      <c r="B139" s="52">
        <v>2617.5329999999999</v>
      </c>
      <c r="C139" s="52">
        <v>130.8767</v>
      </c>
      <c r="D139" s="52">
        <v>0</v>
      </c>
      <c r="E139" s="52">
        <v>0</v>
      </c>
      <c r="F139" s="52">
        <v>392.63</v>
      </c>
      <c r="G139" s="52">
        <v>130.8767</v>
      </c>
      <c r="H139" s="52">
        <v>130.8767</v>
      </c>
      <c r="I139" s="52">
        <v>261.75330000000002</v>
      </c>
      <c r="J139" s="52">
        <v>261.75330000000002</v>
      </c>
      <c r="K139" s="52">
        <v>785.25990000000002</v>
      </c>
      <c r="L139" s="52">
        <v>261.75330000000002</v>
      </c>
      <c r="M139" s="52">
        <v>261.75330000000002</v>
      </c>
      <c r="N139" s="5" t="s">
        <v>69</v>
      </c>
    </row>
    <row r="140" spans="1:14" x14ac:dyDescent="0.25">
      <c r="A140" s="51">
        <v>0.92900000000000005</v>
      </c>
      <c r="B140" s="52">
        <v>2620.3537000000001</v>
      </c>
      <c r="C140" s="52">
        <v>131.01769999999999</v>
      </c>
      <c r="D140" s="52">
        <v>0</v>
      </c>
      <c r="E140" s="52">
        <v>0</v>
      </c>
      <c r="F140" s="52">
        <v>393.053</v>
      </c>
      <c r="G140" s="52">
        <v>131.01769999999999</v>
      </c>
      <c r="H140" s="52">
        <v>131.01769999999999</v>
      </c>
      <c r="I140" s="52">
        <v>262.03539999999998</v>
      </c>
      <c r="J140" s="52">
        <v>262.03539999999998</v>
      </c>
      <c r="K140" s="52">
        <v>786.10609999999997</v>
      </c>
      <c r="L140" s="52">
        <v>262.03539999999998</v>
      </c>
      <c r="M140" s="52">
        <v>262.03539999999998</v>
      </c>
      <c r="N140" s="5" t="s">
        <v>69</v>
      </c>
    </row>
    <row r="141" spans="1:14" x14ac:dyDescent="0.25">
      <c r="A141" s="51">
        <v>0.93</v>
      </c>
      <c r="B141" s="52">
        <v>2623.1743000000001</v>
      </c>
      <c r="C141" s="52">
        <v>131.15870000000001</v>
      </c>
      <c r="D141" s="52">
        <v>0</v>
      </c>
      <c r="E141" s="52">
        <v>0</v>
      </c>
      <c r="F141" s="52">
        <v>393.47609999999997</v>
      </c>
      <c r="G141" s="52">
        <v>131.15870000000001</v>
      </c>
      <c r="H141" s="52">
        <v>131.15870000000001</v>
      </c>
      <c r="I141" s="52">
        <v>262.31740000000002</v>
      </c>
      <c r="J141" s="52">
        <v>262.31740000000002</v>
      </c>
      <c r="K141" s="52">
        <v>786.95230000000004</v>
      </c>
      <c r="L141" s="52">
        <v>262.31740000000002</v>
      </c>
      <c r="M141" s="52">
        <v>262.31740000000002</v>
      </c>
      <c r="N141" s="5" t="s">
        <v>69</v>
      </c>
    </row>
    <row r="142" spans="1:14" x14ac:dyDescent="0.25">
      <c r="A142" s="51">
        <v>0.93100000000000005</v>
      </c>
      <c r="B142" s="52">
        <v>2625.9949000000001</v>
      </c>
      <c r="C142" s="52">
        <v>131.2997</v>
      </c>
      <c r="D142" s="52">
        <v>0</v>
      </c>
      <c r="E142" s="52">
        <v>0</v>
      </c>
      <c r="F142" s="52">
        <v>393.89920000000001</v>
      </c>
      <c r="G142" s="52">
        <v>131.2997</v>
      </c>
      <c r="H142" s="52">
        <v>131.2997</v>
      </c>
      <c r="I142" s="52">
        <v>262.59949999999998</v>
      </c>
      <c r="J142" s="52">
        <v>262.59949999999998</v>
      </c>
      <c r="K142" s="52">
        <v>787.79849999999999</v>
      </c>
      <c r="L142" s="52">
        <v>262.59949999999998</v>
      </c>
      <c r="M142" s="52">
        <v>262.59949999999998</v>
      </c>
      <c r="N142" s="5" t="s">
        <v>69</v>
      </c>
    </row>
    <row r="143" spans="1:14" x14ac:dyDescent="0.25">
      <c r="A143" s="51">
        <v>0.93200000000000005</v>
      </c>
      <c r="B143" s="52">
        <v>2628.8155000000002</v>
      </c>
      <c r="C143" s="52">
        <v>131.4408</v>
      </c>
      <c r="D143" s="52">
        <v>0</v>
      </c>
      <c r="E143" s="52">
        <v>0</v>
      </c>
      <c r="F143" s="52">
        <v>394.32229999999998</v>
      </c>
      <c r="G143" s="52">
        <v>131.4408</v>
      </c>
      <c r="H143" s="52">
        <v>131.4408</v>
      </c>
      <c r="I143" s="52">
        <v>262.88159999999999</v>
      </c>
      <c r="J143" s="52">
        <v>262.88159999999999</v>
      </c>
      <c r="K143" s="52">
        <v>788.64469999999994</v>
      </c>
      <c r="L143" s="52">
        <v>262.88159999999999</v>
      </c>
      <c r="M143" s="52">
        <v>262.88159999999999</v>
      </c>
      <c r="N143" s="5" t="s">
        <v>69</v>
      </c>
    </row>
    <row r="144" spans="1:14" x14ac:dyDescent="0.25">
      <c r="A144" s="51">
        <v>0.93300000000000005</v>
      </c>
      <c r="B144" s="52">
        <v>2631.6361000000002</v>
      </c>
      <c r="C144" s="52">
        <v>131.58179999999999</v>
      </c>
      <c r="D144" s="52">
        <v>0</v>
      </c>
      <c r="E144" s="52">
        <v>0</v>
      </c>
      <c r="F144" s="52">
        <v>394.74540000000002</v>
      </c>
      <c r="G144" s="52">
        <v>131.58179999999999</v>
      </c>
      <c r="H144" s="52">
        <v>131.58179999999999</v>
      </c>
      <c r="I144" s="52">
        <v>263.16359999999997</v>
      </c>
      <c r="J144" s="52">
        <v>263.16359999999997</v>
      </c>
      <c r="K144" s="52">
        <v>789.49080000000004</v>
      </c>
      <c r="L144" s="52">
        <v>263.16359999999997</v>
      </c>
      <c r="M144" s="52">
        <v>263.16359999999997</v>
      </c>
      <c r="N144" s="5" t="s">
        <v>69</v>
      </c>
    </row>
    <row r="145" spans="1:14" x14ac:dyDescent="0.25">
      <c r="A145" s="51">
        <v>0.93400000000000005</v>
      </c>
      <c r="B145" s="52">
        <v>2634.4567000000002</v>
      </c>
      <c r="C145" s="52">
        <v>131.72280000000001</v>
      </c>
      <c r="D145" s="52">
        <v>0</v>
      </c>
      <c r="E145" s="52">
        <v>0</v>
      </c>
      <c r="F145" s="52">
        <v>395.16849999999999</v>
      </c>
      <c r="G145" s="52">
        <v>131.72280000000001</v>
      </c>
      <c r="H145" s="52">
        <v>131.72280000000001</v>
      </c>
      <c r="I145" s="52">
        <v>263.44569999999999</v>
      </c>
      <c r="J145" s="52">
        <v>263.44569999999999</v>
      </c>
      <c r="K145" s="52">
        <v>790.33699999999999</v>
      </c>
      <c r="L145" s="52">
        <v>263.44569999999999</v>
      </c>
      <c r="M145" s="52">
        <v>263.44569999999999</v>
      </c>
      <c r="N145" s="5" t="s">
        <v>69</v>
      </c>
    </row>
    <row r="146" spans="1:14" x14ac:dyDescent="0.25">
      <c r="A146" s="51">
        <v>0.93500000000000005</v>
      </c>
      <c r="B146" s="52">
        <v>2637.2773999999999</v>
      </c>
      <c r="C146" s="52">
        <v>131.8639</v>
      </c>
      <c r="D146" s="52">
        <v>0</v>
      </c>
      <c r="E146" s="52">
        <v>0</v>
      </c>
      <c r="F146" s="52">
        <v>395.59160000000003</v>
      </c>
      <c r="G146" s="52">
        <v>131.8639</v>
      </c>
      <c r="H146" s="52">
        <v>131.8639</v>
      </c>
      <c r="I146" s="52">
        <v>263.72770000000003</v>
      </c>
      <c r="J146" s="52">
        <v>263.72770000000003</v>
      </c>
      <c r="K146" s="52">
        <v>791.18320000000006</v>
      </c>
      <c r="L146" s="52">
        <v>263.72770000000003</v>
      </c>
      <c r="M146" s="52">
        <v>263.72770000000003</v>
      </c>
      <c r="N146" s="5" t="s">
        <v>69</v>
      </c>
    </row>
    <row r="147" spans="1:14" x14ac:dyDescent="0.25">
      <c r="A147" s="51">
        <v>0.93600000000000005</v>
      </c>
      <c r="B147" s="52">
        <v>2640.098</v>
      </c>
      <c r="C147" s="52">
        <v>132.00489999999999</v>
      </c>
      <c r="D147" s="52">
        <v>0</v>
      </c>
      <c r="E147" s="52">
        <v>0</v>
      </c>
      <c r="F147" s="52">
        <v>396.0147</v>
      </c>
      <c r="G147" s="52">
        <v>132.00489999999999</v>
      </c>
      <c r="H147" s="52">
        <v>132.00489999999999</v>
      </c>
      <c r="I147" s="52">
        <v>264.00979999999998</v>
      </c>
      <c r="J147" s="52">
        <v>264.00979999999998</v>
      </c>
      <c r="K147" s="52">
        <v>792.02940000000001</v>
      </c>
      <c r="L147" s="52">
        <v>264.00979999999998</v>
      </c>
      <c r="M147" s="52">
        <v>264.00979999999998</v>
      </c>
      <c r="N147" s="5" t="s">
        <v>69</v>
      </c>
    </row>
    <row r="148" spans="1:14" x14ac:dyDescent="0.25">
      <c r="A148" s="51">
        <v>0.93700000000000006</v>
      </c>
      <c r="B148" s="52">
        <v>2642.9186</v>
      </c>
      <c r="C148" s="52">
        <v>132.14590000000001</v>
      </c>
      <c r="D148" s="52">
        <v>0</v>
      </c>
      <c r="E148" s="52">
        <v>0</v>
      </c>
      <c r="F148" s="52">
        <v>396.43779999999998</v>
      </c>
      <c r="G148" s="52">
        <v>132.14590000000001</v>
      </c>
      <c r="H148" s="52">
        <v>132.14590000000001</v>
      </c>
      <c r="I148" s="52">
        <v>264.2919</v>
      </c>
      <c r="J148" s="52">
        <v>264.2919</v>
      </c>
      <c r="K148" s="52">
        <v>792.87559999999996</v>
      </c>
      <c r="L148" s="52">
        <v>264.2919</v>
      </c>
      <c r="M148" s="52">
        <v>264.2919</v>
      </c>
      <c r="N148" s="5" t="s">
        <v>69</v>
      </c>
    </row>
    <row r="149" spans="1:14" x14ac:dyDescent="0.25">
      <c r="A149" s="51">
        <v>0.93799999999999994</v>
      </c>
      <c r="B149" s="52">
        <v>2645.7392</v>
      </c>
      <c r="C149" s="52">
        <v>132.28700000000001</v>
      </c>
      <c r="D149" s="52">
        <v>0</v>
      </c>
      <c r="E149" s="52">
        <v>0</v>
      </c>
      <c r="F149" s="52">
        <v>396.86090000000002</v>
      </c>
      <c r="G149" s="52">
        <v>132.28700000000001</v>
      </c>
      <c r="H149" s="52">
        <v>132.28700000000001</v>
      </c>
      <c r="I149" s="52">
        <v>264.57389999999998</v>
      </c>
      <c r="J149" s="52">
        <v>264.57389999999998</v>
      </c>
      <c r="K149" s="52">
        <v>793.72180000000003</v>
      </c>
      <c r="L149" s="52">
        <v>264.57389999999998</v>
      </c>
      <c r="M149" s="52">
        <v>264.57389999999998</v>
      </c>
      <c r="N149" s="5" t="s">
        <v>69</v>
      </c>
    </row>
    <row r="150" spans="1:14" x14ac:dyDescent="0.25">
      <c r="A150" s="51">
        <v>0.93899999999999995</v>
      </c>
      <c r="B150" s="52">
        <v>2648.5598</v>
      </c>
      <c r="C150" s="52">
        <v>132.428</v>
      </c>
      <c r="D150" s="52">
        <v>0</v>
      </c>
      <c r="E150" s="52">
        <v>0</v>
      </c>
      <c r="F150" s="52">
        <v>397.28399999999999</v>
      </c>
      <c r="G150" s="52">
        <v>132.428</v>
      </c>
      <c r="H150" s="52">
        <v>132.428</v>
      </c>
      <c r="I150" s="52">
        <v>264.85599999999999</v>
      </c>
      <c r="J150" s="52">
        <v>264.85599999999999</v>
      </c>
      <c r="K150" s="52">
        <v>794.56790000000001</v>
      </c>
      <c r="L150" s="52">
        <v>264.85599999999999</v>
      </c>
      <c r="M150" s="52">
        <v>264.85599999999999</v>
      </c>
      <c r="N150" s="5" t="s">
        <v>69</v>
      </c>
    </row>
    <row r="151" spans="1:14" x14ac:dyDescent="0.25">
      <c r="A151" s="51">
        <v>0.94</v>
      </c>
      <c r="B151" s="52">
        <v>2651.3804</v>
      </c>
      <c r="C151" s="52">
        <v>132.56899999999999</v>
      </c>
      <c r="D151" s="52">
        <v>0</v>
      </c>
      <c r="E151" s="52">
        <v>0</v>
      </c>
      <c r="F151" s="52">
        <v>397.70710000000003</v>
      </c>
      <c r="G151" s="52">
        <v>132.56899999999999</v>
      </c>
      <c r="H151" s="52">
        <v>132.56899999999999</v>
      </c>
      <c r="I151" s="52">
        <v>265.13799999999998</v>
      </c>
      <c r="J151" s="52">
        <v>265.13799999999998</v>
      </c>
      <c r="K151" s="52">
        <v>795.41409999999996</v>
      </c>
      <c r="L151" s="52">
        <v>265.13799999999998</v>
      </c>
      <c r="M151" s="52">
        <v>265.13799999999998</v>
      </c>
      <c r="N151" s="5" t="s">
        <v>69</v>
      </c>
    </row>
    <row r="152" spans="1:14" x14ac:dyDescent="0.25">
      <c r="A152" s="51">
        <v>0.94099999999999995</v>
      </c>
      <c r="B152" s="52">
        <v>2654.2011000000002</v>
      </c>
      <c r="C152" s="52">
        <v>132.71010000000001</v>
      </c>
      <c r="D152" s="52">
        <v>0</v>
      </c>
      <c r="E152" s="52">
        <v>0</v>
      </c>
      <c r="F152" s="52">
        <v>398.1302</v>
      </c>
      <c r="G152" s="52">
        <v>132.71010000000001</v>
      </c>
      <c r="H152" s="52">
        <v>132.71010000000001</v>
      </c>
      <c r="I152" s="52">
        <v>265.42009999999999</v>
      </c>
      <c r="J152" s="52">
        <v>265.42009999999999</v>
      </c>
      <c r="K152" s="52">
        <v>796.26030000000003</v>
      </c>
      <c r="L152" s="52">
        <v>265.42009999999999</v>
      </c>
      <c r="M152" s="52">
        <v>265.42009999999999</v>
      </c>
      <c r="N152" s="5" t="s">
        <v>69</v>
      </c>
    </row>
    <row r="153" spans="1:14" x14ac:dyDescent="0.25">
      <c r="A153" s="51">
        <v>0.94199999999999995</v>
      </c>
      <c r="B153" s="52">
        <v>2657.0216999999998</v>
      </c>
      <c r="C153" s="52">
        <v>132.8511</v>
      </c>
      <c r="D153" s="52">
        <v>0</v>
      </c>
      <c r="E153" s="52">
        <v>0</v>
      </c>
      <c r="F153" s="52">
        <v>398.55329999999998</v>
      </c>
      <c r="G153" s="52">
        <v>132.8511</v>
      </c>
      <c r="H153" s="52">
        <v>132.8511</v>
      </c>
      <c r="I153" s="52">
        <v>265.7022</v>
      </c>
      <c r="J153" s="52">
        <v>265.7022</v>
      </c>
      <c r="K153" s="52">
        <v>797.10649999999998</v>
      </c>
      <c r="L153" s="52">
        <v>265.7022</v>
      </c>
      <c r="M153" s="52">
        <v>265.7022</v>
      </c>
      <c r="N153" s="5" t="s">
        <v>69</v>
      </c>
    </row>
    <row r="154" spans="1:14" x14ac:dyDescent="0.25">
      <c r="A154" s="51">
        <v>0.94299999999999995</v>
      </c>
      <c r="B154" s="52">
        <v>2659.8422999999998</v>
      </c>
      <c r="C154" s="52">
        <v>132.99209999999999</v>
      </c>
      <c r="D154" s="52">
        <v>0</v>
      </c>
      <c r="E154" s="52">
        <v>0</v>
      </c>
      <c r="F154" s="52">
        <v>398.97629999999998</v>
      </c>
      <c r="G154" s="52">
        <v>132.99209999999999</v>
      </c>
      <c r="H154" s="52">
        <v>132.99209999999999</v>
      </c>
      <c r="I154" s="52">
        <v>265.98419999999999</v>
      </c>
      <c r="J154" s="52">
        <v>265.98419999999999</v>
      </c>
      <c r="K154" s="52">
        <v>797.95270000000005</v>
      </c>
      <c r="L154" s="52">
        <v>265.98419999999999</v>
      </c>
      <c r="M154" s="52">
        <v>265.98419999999999</v>
      </c>
      <c r="N154" s="5" t="s">
        <v>69</v>
      </c>
    </row>
    <row r="155" spans="1:14" x14ac:dyDescent="0.25">
      <c r="A155" s="51">
        <v>0.94399999999999995</v>
      </c>
      <c r="B155" s="52">
        <v>2662.6628999999998</v>
      </c>
      <c r="C155" s="52">
        <v>133.13310000000001</v>
      </c>
      <c r="D155" s="52">
        <v>0</v>
      </c>
      <c r="E155" s="52">
        <v>0</v>
      </c>
      <c r="F155" s="52">
        <v>399.39940000000001</v>
      </c>
      <c r="G155" s="52">
        <v>133.13310000000001</v>
      </c>
      <c r="H155" s="52">
        <v>133.13310000000001</v>
      </c>
      <c r="I155" s="52">
        <v>266.2663</v>
      </c>
      <c r="J155" s="52">
        <v>266.2663</v>
      </c>
      <c r="K155" s="52">
        <v>798.7989</v>
      </c>
      <c r="L155" s="52">
        <v>266.2663</v>
      </c>
      <c r="M155" s="52">
        <v>266.2663</v>
      </c>
      <c r="N155" s="5" t="s">
        <v>69</v>
      </c>
    </row>
    <row r="156" spans="1:14" x14ac:dyDescent="0.25">
      <c r="A156" s="51">
        <v>0.94499999999999995</v>
      </c>
      <c r="B156" s="52">
        <v>2665.4834999999998</v>
      </c>
      <c r="C156" s="52">
        <v>133.27420000000001</v>
      </c>
      <c r="D156" s="52">
        <v>0</v>
      </c>
      <c r="E156" s="52">
        <v>0</v>
      </c>
      <c r="F156" s="52">
        <v>399.82249999999999</v>
      </c>
      <c r="G156" s="52">
        <v>133.27420000000001</v>
      </c>
      <c r="H156" s="52">
        <v>133.27420000000001</v>
      </c>
      <c r="I156" s="52">
        <v>266.54840000000002</v>
      </c>
      <c r="J156" s="52">
        <v>266.54840000000002</v>
      </c>
      <c r="K156" s="52">
        <v>799.64509999999996</v>
      </c>
      <c r="L156" s="52">
        <v>266.54840000000002</v>
      </c>
      <c r="M156" s="52">
        <v>266.54840000000002</v>
      </c>
      <c r="N156" s="5" t="s">
        <v>69</v>
      </c>
    </row>
    <row r="157" spans="1:14" x14ac:dyDescent="0.25">
      <c r="A157" s="51">
        <v>0.94599999999999995</v>
      </c>
      <c r="B157" s="52">
        <v>2668.3040999999998</v>
      </c>
      <c r="C157" s="52">
        <v>133.4152</v>
      </c>
      <c r="D157" s="52">
        <v>0</v>
      </c>
      <c r="E157" s="52">
        <v>0</v>
      </c>
      <c r="F157" s="52">
        <v>400.24560000000002</v>
      </c>
      <c r="G157" s="52">
        <v>133.4152</v>
      </c>
      <c r="H157" s="52">
        <v>133.4152</v>
      </c>
      <c r="I157" s="52">
        <v>266.8304</v>
      </c>
      <c r="J157" s="52">
        <v>266.8304</v>
      </c>
      <c r="K157" s="52">
        <v>800.49120000000005</v>
      </c>
      <c r="L157" s="52">
        <v>266.8304</v>
      </c>
      <c r="M157" s="52">
        <v>266.8304</v>
      </c>
      <c r="N157" s="5" t="s">
        <v>69</v>
      </c>
    </row>
    <row r="158" spans="1:14" x14ac:dyDescent="0.25">
      <c r="A158" s="51">
        <v>0.94699999999999995</v>
      </c>
      <c r="B158" s="52">
        <v>2671.1248000000001</v>
      </c>
      <c r="C158" s="52">
        <v>133.55619999999999</v>
      </c>
      <c r="D158" s="52">
        <v>0</v>
      </c>
      <c r="E158" s="52">
        <v>0</v>
      </c>
      <c r="F158" s="52">
        <v>400.6687</v>
      </c>
      <c r="G158" s="52">
        <v>133.55619999999999</v>
      </c>
      <c r="H158" s="52">
        <v>133.55619999999999</v>
      </c>
      <c r="I158" s="52">
        <v>267.11250000000001</v>
      </c>
      <c r="J158" s="52">
        <v>267.11250000000001</v>
      </c>
      <c r="K158" s="52">
        <v>801.3374</v>
      </c>
      <c r="L158" s="52">
        <v>267.11250000000001</v>
      </c>
      <c r="M158" s="52">
        <v>267.11250000000001</v>
      </c>
      <c r="N158" s="5" t="s">
        <v>69</v>
      </c>
    </row>
    <row r="159" spans="1:14" x14ac:dyDescent="0.25">
      <c r="A159" s="51">
        <v>0.94799999999999995</v>
      </c>
      <c r="B159" s="52">
        <v>2673.9454000000001</v>
      </c>
      <c r="C159" s="52">
        <v>133.69730000000001</v>
      </c>
      <c r="D159" s="52">
        <v>0</v>
      </c>
      <c r="E159" s="52">
        <v>0</v>
      </c>
      <c r="F159" s="52">
        <v>401.09179999999998</v>
      </c>
      <c r="G159" s="52">
        <v>133.69730000000001</v>
      </c>
      <c r="H159" s="52">
        <v>133.69730000000001</v>
      </c>
      <c r="I159" s="52">
        <v>267.39449999999999</v>
      </c>
      <c r="J159" s="52">
        <v>267.39449999999999</v>
      </c>
      <c r="K159" s="52">
        <v>802.18359999999996</v>
      </c>
      <c r="L159" s="52">
        <v>267.39449999999999</v>
      </c>
      <c r="M159" s="52">
        <v>267.39449999999999</v>
      </c>
      <c r="N159" s="5" t="s">
        <v>69</v>
      </c>
    </row>
    <row r="160" spans="1:14" x14ac:dyDescent="0.25">
      <c r="A160" s="51">
        <v>0.94899999999999995</v>
      </c>
      <c r="B160" s="52">
        <v>2676.7660000000001</v>
      </c>
      <c r="C160" s="52">
        <v>133.8383</v>
      </c>
      <c r="D160" s="52">
        <v>0</v>
      </c>
      <c r="E160" s="52">
        <v>0</v>
      </c>
      <c r="F160" s="52">
        <v>401.51490000000001</v>
      </c>
      <c r="G160" s="52">
        <v>133.8383</v>
      </c>
      <c r="H160" s="52">
        <v>133.8383</v>
      </c>
      <c r="I160" s="52">
        <v>267.67660000000001</v>
      </c>
      <c r="J160" s="52">
        <v>267.67660000000001</v>
      </c>
      <c r="K160" s="52">
        <v>803.02980000000002</v>
      </c>
      <c r="L160" s="52">
        <v>267.67660000000001</v>
      </c>
      <c r="M160" s="52">
        <v>267.67660000000001</v>
      </c>
      <c r="N160" s="5" t="s">
        <v>69</v>
      </c>
    </row>
    <row r="161" spans="1:14" x14ac:dyDescent="0.25">
      <c r="A161" s="51">
        <v>0.95</v>
      </c>
      <c r="B161" s="52">
        <v>2679.5866000000001</v>
      </c>
      <c r="C161" s="52">
        <v>133.97929999999999</v>
      </c>
      <c r="D161" s="52">
        <v>0</v>
      </c>
      <c r="E161" s="52">
        <v>0</v>
      </c>
      <c r="F161" s="52">
        <v>401.93799999999999</v>
      </c>
      <c r="G161" s="52">
        <v>133.97929999999999</v>
      </c>
      <c r="H161" s="52">
        <v>133.97929999999999</v>
      </c>
      <c r="I161" s="52">
        <v>267.95870000000002</v>
      </c>
      <c r="J161" s="52">
        <v>267.95870000000002</v>
      </c>
      <c r="K161" s="52">
        <v>803.87599999999998</v>
      </c>
      <c r="L161" s="52">
        <v>267.95870000000002</v>
      </c>
      <c r="M161" s="52">
        <v>267.95870000000002</v>
      </c>
      <c r="N161" s="5" t="s">
        <v>69</v>
      </c>
    </row>
    <row r="162" spans="1:14" x14ac:dyDescent="0.25">
      <c r="A162" s="51">
        <v>0.95099999999999996</v>
      </c>
      <c r="B162" s="52">
        <v>2682.4072000000001</v>
      </c>
      <c r="C162" s="52">
        <v>134.12039999999999</v>
      </c>
      <c r="D162" s="52">
        <v>0</v>
      </c>
      <c r="E162" s="52">
        <v>0</v>
      </c>
      <c r="F162" s="52">
        <v>402.36110000000002</v>
      </c>
      <c r="G162" s="52">
        <v>134.12039999999999</v>
      </c>
      <c r="H162" s="52">
        <v>134.12039999999999</v>
      </c>
      <c r="I162" s="52">
        <v>268.2407</v>
      </c>
      <c r="J162" s="52">
        <v>268.2407</v>
      </c>
      <c r="K162" s="52">
        <v>804.72220000000004</v>
      </c>
      <c r="L162" s="52">
        <v>268.2407</v>
      </c>
      <c r="M162" s="52">
        <v>268.2407</v>
      </c>
      <c r="N162" s="5" t="s">
        <v>69</v>
      </c>
    </row>
    <row r="163" spans="1:14" x14ac:dyDescent="0.25">
      <c r="A163" s="51">
        <v>0.95199999999999996</v>
      </c>
      <c r="B163" s="52">
        <v>2685.2278999999999</v>
      </c>
      <c r="C163" s="52">
        <v>134.26140000000001</v>
      </c>
      <c r="D163" s="52">
        <v>0</v>
      </c>
      <c r="E163" s="52">
        <v>0</v>
      </c>
      <c r="F163" s="52">
        <v>402.7842</v>
      </c>
      <c r="G163" s="52">
        <v>134.26140000000001</v>
      </c>
      <c r="H163" s="52">
        <v>134.26140000000001</v>
      </c>
      <c r="I163" s="52">
        <v>268.52280000000002</v>
      </c>
      <c r="J163" s="52">
        <v>268.52280000000002</v>
      </c>
      <c r="K163" s="52">
        <v>805.5684</v>
      </c>
      <c r="L163" s="52">
        <v>268.52280000000002</v>
      </c>
      <c r="M163" s="52">
        <v>268.52280000000002</v>
      </c>
      <c r="N163" s="5" t="s">
        <v>69</v>
      </c>
    </row>
    <row r="164" spans="1:14" x14ac:dyDescent="0.25">
      <c r="A164" s="51">
        <v>0.95299999999999996</v>
      </c>
      <c r="B164" s="52">
        <v>2688.0484999999999</v>
      </c>
      <c r="C164" s="52">
        <v>134.4024</v>
      </c>
      <c r="D164" s="52">
        <v>0</v>
      </c>
      <c r="E164" s="52">
        <v>0</v>
      </c>
      <c r="F164" s="52">
        <v>403.20729999999998</v>
      </c>
      <c r="G164" s="52">
        <v>134.4024</v>
      </c>
      <c r="H164" s="52">
        <v>134.4024</v>
      </c>
      <c r="I164" s="52">
        <v>268.8048</v>
      </c>
      <c r="J164" s="52">
        <v>268.8048</v>
      </c>
      <c r="K164" s="52">
        <v>806.41449999999998</v>
      </c>
      <c r="L164" s="52">
        <v>268.8048</v>
      </c>
      <c r="M164" s="52">
        <v>268.8048</v>
      </c>
      <c r="N164" s="5" t="s">
        <v>69</v>
      </c>
    </row>
    <row r="165" spans="1:14" x14ac:dyDescent="0.25">
      <c r="A165" s="51">
        <v>0.95399999999999996</v>
      </c>
      <c r="B165" s="52">
        <v>2690.8690999999999</v>
      </c>
      <c r="C165" s="52">
        <v>134.54349999999999</v>
      </c>
      <c r="D165" s="52">
        <v>0</v>
      </c>
      <c r="E165" s="52">
        <v>0</v>
      </c>
      <c r="F165" s="52">
        <v>403.63040000000001</v>
      </c>
      <c r="G165" s="52">
        <v>134.54349999999999</v>
      </c>
      <c r="H165" s="52">
        <v>134.54349999999999</v>
      </c>
      <c r="I165" s="52">
        <v>269.08690000000001</v>
      </c>
      <c r="J165" s="52">
        <v>269.08690000000001</v>
      </c>
      <c r="K165" s="52">
        <v>807.26070000000004</v>
      </c>
      <c r="L165" s="52">
        <v>269.08690000000001</v>
      </c>
      <c r="M165" s="52">
        <v>269.08690000000001</v>
      </c>
      <c r="N165" s="5" t="s">
        <v>69</v>
      </c>
    </row>
    <row r="166" spans="1:14" x14ac:dyDescent="0.25">
      <c r="A166" s="51">
        <v>0.95499999999999996</v>
      </c>
      <c r="B166" s="52">
        <v>2693.6896999999999</v>
      </c>
      <c r="C166" s="52">
        <v>134.68450000000001</v>
      </c>
      <c r="D166" s="52">
        <v>0</v>
      </c>
      <c r="E166" s="52">
        <v>0</v>
      </c>
      <c r="F166" s="52">
        <v>404.05349999999999</v>
      </c>
      <c r="G166" s="52">
        <v>134.68450000000001</v>
      </c>
      <c r="H166" s="52">
        <v>134.68450000000001</v>
      </c>
      <c r="I166" s="52">
        <v>269.36900000000003</v>
      </c>
      <c r="J166" s="52">
        <v>269.36900000000003</v>
      </c>
      <c r="K166" s="52">
        <v>808.1069</v>
      </c>
      <c r="L166" s="52">
        <v>269.36900000000003</v>
      </c>
      <c r="M166" s="52">
        <v>269.36900000000003</v>
      </c>
      <c r="N166" s="5" t="s">
        <v>69</v>
      </c>
    </row>
    <row r="167" spans="1:14" x14ac:dyDescent="0.25">
      <c r="A167" s="51">
        <v>0.95599999999999996</v>
      </c>
      <c r="B167" s="52">
        <v>2696.5102999999999</v>
      </c>
      <c r="C167" s="52">
        <v>134.82550000000001</v>
      </c>
      <c r="D167" s="52">
        <v>0</v>
      </c>
      <c r="E167" s="52">
        <v>0</v>
      </c>
      <c r="F167" s="52">
        <v>404.47649999999999</v>
      </c>
      <c r="G167" s="52">
        <v>134.82550000000001</v>
      </c>
      <c r="H167" s="52">
        <v>134.82550000000001</v>
      </c>
      <c r="I167" s="52">
        <v>269.65100000000001</v>
      </c>
      <c r="J167" s="52">
        <v>269.65100000000001</v>
      </c>
      <c r="K167" s="52">
        <v>808.95309999999995</v>
      </c>
      <c r="L167" s="52">
        <v>269.65100000000001</v>
      </c>
      <c r="M167" s="52">
        <v>269.65100000000001</v>
      </c>
      <c r="N167" s="5" t="s">
        <v>69</v>
      </c>
    </row>
    <row r="168" spans="1:14" x14ac:dyDescent="0.25">
      <c r="A168" s="51">
        <v>0.95699999999999996</v>
      </c>
      <c r="B168" s="52">
        <v>2699.3308999999999</v>
      </c>
      <c r="C168" s="52">
        <v>134.9665</v>
      </c>
      <c r="D168" s="52">
        <v>0</v>
      </c>
      <c r="E168" s="52">
        <v>0</v>
      </c>
      <c r="F168" s="52">
        <v>404.89960000000002</v>
      </c>
      <c r="G168" s="52">
        <v>134.9665</v>
      </c>
      <c r="H168" s="52">
        <v>134.9665</v>
      </c>
      <c r="I168" s="52">
        <v>269.93310000000002</v>
      </c>
      <c r="J168" s="52">
        <v>269.93310000000002</v>
      </c>
      <c r="K168" s="52">
        <v>809.79930000000002</v>
      </c>
      <c r="L168" s="52">
        <v>269.93310000000002</v>
      </c>
      <c r="M168" s="52">
        <v>269.93310000000002</v>
      </c>
      <c r="N168" s="5" t="s">
        <v>69</v>
      </c>
    </row>
    <row r="169" spans="1:14" x14ac:dyDescent="0.25">
      <c r="A169" s="51">
        <v>0.95799999999999996</v>
      </c>
      <c r="B169" s="52">
        <v>2702.1516000000001</v>
      </c>
      <c r="C169" s="52">
        <v>135.10759999999999</v>
      </c>
      <c r="D169" s="52">
        <v>0</v>
      </c>
      <c r="E169" s="52">
        <v>0</v>
      </c>
      <c r="F169" s="52">
        <v>405.3227</v>
      </c>
      <c r="G169" s="52">
        <v>135.10759999999999</v>
      </c>
      <c r="H169" s="52">
        <v>135.10759999999999</v>
      </c>
      <c r="I169" s="52">
        <v>270.21519999999998</v>
      </c>
      <c r="J169" s="52">
        <v>270.21519999999998</v>
      </c>
      <c r="K169" s="52">
        <v>810.64549999999997</v>
      </c>
      <c r="L169" s="52">
        <v>270.21519999999998</v>
      </c>
      <c r="M169" s="52">
        <v>270.21519999999998</v>
      </c>
      <c r="N169" s="5" t="s">
        <v>69</v>
      </c>
    </row>
    <row r="170" spans="1:14" x14ac:dyDescent="0.25">
      <c r="A170" s="51">
        <v>0.95899999999999996</v>
      </c>
      <c r="B170" s="52">
        <v>2704.9722000000002</v>
      </c>
      <c r="C170" s="52">
        <v>135.24860000000001</v>
      </c>
      <c r="D170" s="52">
        <v>0</v>
      </c>
      <c r="E170" s="52">
        <v>0</v>
      </c>
      <c r="F170" s="52">
        <v>405.74579999999997</v>
      </c>
      <c r="G170" s="52">
        <v>135.24860000000001</v>
      </c>
      <c r="H170" s="52">
        <v>135.24860000000001</v>
      </c>
      <c r="I170" s="52">
        <v>270.49720000000002</v>
      </c>
      <c r="J170" s="52">
        <v>270.49720000000002</v>
      </c>
      <c r="K170" s="52">
        <v>811.49170000000004</v>
      </c>
      <c r="L170" s="52">
        <v>270.49720000000002</v>
      </c>
      <c r="M170" s="52">
        <v>270.49720000000002</v>
      </c>
      <c r="N170" s="5" t="s">
        <v>69</v>
      </c>
    </row>
    <row r="171" spans="1:14" x14ac:dyDescent="0.25">
      <c r="A171" s="51">
        <v>0.96</v>
      </c>
      <c r="B171" s="52">
        <v>2707.7928000000002</v>
      </c>
      <c r="C171" s="52">
        <v>135.3896</v>
      </c>
      <c r="D171" s="52">
        <v>0</v>
      </c>
      <c r="E171" s="52">
        <v>0</v>
      </c>
      <c r="F171" s="52">
        <v>406.16890000000001</v>
      </c>
      <c r="G171" s="52">
        <v>135.3896</v>
      </c>
      <c r="H171" s="52">
        <v>135.3896</v>
      </c>
      <c r="I171" s="52">
        <v>270.77929999999998</v>
      </c>
      <c r="J171" s="52">
        <v>270.77929999999998</v>
      </c>
      <c r="K171" s="52">
        <v>812.33780000000002</v>
      </c>
      <c r="L171" s="52">
        <v>270.77929999999998</v>
      </c>
      <c r="M171" s="52">
        <v>270.77929999999998</v>
      </c>
      <c r="N171" s="5" t="s">
        <v>69</v>
      </c>
    </row>
    <row r="172" spans="1:14" x14ac:dyDescent="0.25">
      <c r="A172" s="51">
        <v>0.96099999999999997</v>
      </c>
      <c r="B172" s="52">
        <v>2710.6134000000002</v>
      </c>
      <c r="C172" s="52">
        <v>135.5307</v>
      </c>
      <c r="D172" s="52">
        <v>0</v>
      </c>
      <c r="E172" s="52">
        <v>0</v>
      </c>
      <c r="F172" s="52">
        <v>406.59199999999998</v>
      </c>
      <c r="G172" s="52">
        <v>135.5307</v>
      </c>
      <c r="H172" s="52">
        <v>135.5307</v>
      </c>
      <c r="I172" s="52">
        <v>271.06130000000002</v>
      </c>
      <c r="J172" s="52">
        <v>271.06130000000002</v>
      </c>
      <c r="K172" s="52">
        <v>813.18399999999997</v>
      </c>
      <c r="L172" s="52">
        <v>271.06130000000002</v>
      </c>
      <c r="M172" s="52">
        <v>271.06130000000002</v>
      </c>
      <c r="N172" s="5" t="s">
        <v>69</v>
      </c>
    </row>
    <row r="173" spans="1:14" x14ac:dyDescent="0.25">
      <c r="A173" s="51">
        <v>0.96199999999999997</v>
      </c>
      <c r="B173" s="52">
        <v>2713.4340000000002</v>
      </c>
      <c r="C173" s="52">
        <v>135.67169999999999</v>
      </c>
      <c r="D173" s="52">
        <v>0</v>
      </c>
      <c r="E173" s="52">
        <v>0</v>
      </c>
      <c r="F173" s="52">
        <v>407.01510000000002</v>
      </c>
      <c r="G173" s="52">
        <v>135.67169999999999</v>
      </c>
      <c r="H173" s="52">
        <v>135.67169999999999</v>
      </c>
      <c r="I173" s="52">
        <v>271.34339999999997</v>
      </c>
      <c r="J173" s="52">
        <v>271.34339999999997</v>
      </c>
      <c r="K173" s="52">
        <v>814.03020000000004</v>
      </c>
      <c r="L173" s="52">
        <v>271.34339999999997</v>
      </c>
      <c r="M173" s="52">
        <v>271.34339999999997</v>
      </c>
      <c r="N173" s="5" t="s">
        <v>69</v>
      </c>
    </row>
    <row r="174" spans="1:14" x14ac:dyDescent="0.25">
      <c r="A174" s="51">
        <v>0.96299999999999997</v>
      </c>
      <c r="B174" s="52">
        <v>2716.2546000000002</v>
      </c>
      <c r="C174" s="52">
        <v>135.81270000000001</v>
      </c>
      <c r="D174" s="52">
        <v>0</v>
      </c>
      <c r="E174" s="52">
        <v>0</v>
      </c>
      <c r="F174" s="52">
        <v>407.43819999999999</v>
      </c>
      <c r="G174" s="52">
        <v>135.81270000000001</v>
      </c>
      <c r="H174" s="52">
        <v>135.81270000000001</v>
      </c>
      <c r="I174" s="52">
        <v>271.62549999999999</v>
      </c>
      <c r="J174" s="52">
        <v>271.62549999999999</v>
      </c>
      <c r="K174" s="52">
        <v>814.87639999999999</v>
      </c>
      <c r="L174" s="52">
        <v>271.62549999999999</v>
      </c>
      <c r="M174" s="52">
        <v>271.62549999999999</v>
      </c>
      <c r="N174" s="5" t="s">
        <v>69</v>
      </c>
    </row>
    <row r="175" spans="1:14" x14ac:dyDescent="0.25">
      <c r="A175" s="51">
        <v>0.96399999999999997</v>
      </c>
      <c r="B175" s="52">
        <v>2719.0753</v>
      </c>
      <c r="C175" s="52">
        <v>135.9538</v>
      </c>
      <c r="D175" s="52">
        <v>0</v>
      </c>
      <c r="E175" s="52">
        <v>0</v>
      </c>
      <c r="F175" s="52">
        <v>407.86130000000003</v>
      </c>
      <c r="G175" s="52">
        <v>135.9538</v>
      </c>
      <c r="H175" s="52">
        <v>135.9538</v>
      </c>
      <c r="I175" s="52">
        <v>271.90750000000003</v>
      </c>
      <c r="J175" s="52">
        <v>271.90750000000003</v>
      </c>
      <c r="K175" s="52">
        <v>815.72260000000006</v>
      </c>
      <c r="L175" s="52">
        <v>271.90750000000003</v>
      </c>
      <c r="M175" s="52">
        <v>271.90750000000003</v>
      </c>
      <c r="N175" s="5" t="s">
        <v>69</v>
      </c>
    </row>
    <row r="176" spans="1:14" x14ac:dyDescent="0.25">
      <c r="A176" s="51">
        <v>0.96499999999999997</v>
      </c>
      <c r="B176" s="52">
        <v>2721.8959</v>
      </c>
      <c r="C176" s="52">
        <v>136.09479999999999</v>
      </c>
      <c r="D176" s="52">
        <v>0</v>
      </c>
      <c r="E176" s="52">
        <v>0</v>
      </c>
      <c r="F176" s="52">
        <v>408.28440000000001</v>
      </c>
      <c r="G176" s="52">
        <v>136.09479999999999</v>
      </c>
      <c r="H176" s="52">
        <v>136.09479999999999</v>
      </c>
      <c r="I176" s="52">
        <v>272.18959999999998</v>
      </c>
      <c r="J176" s="52">
        <v>272.18959999999998</v>
      </c>
      <c r="K176" s="52">
        <v>816.56880000000001</v>
      </c>
      <c r="L176" s="52">
        <v>272.18959999999998</v>
      </c>
      <c r="M176" s="52">
        <v>272.18959999999998</v>
      </c>
      <c r="N176" s="5" t="s">
        <v>69</v>
      </c>
    </row>
    <row r="177" spans="1:14" x14ac:dyDescent="0.25">
      <c r="A177" s="51">
        <v>0.96599999999999997</v>
      </c>
      <c r="B177" s="52">
        <v>2724.7165</v>
      </c>
      <c r="C177" s="52">
        <v>136.23580000000001</v>
      </c>
      <c r="D177" s="52">
        <v>0</v>
      </c>
      <c r="E177" s="52">
        <v>0</v>
      </c>
      <c r="F177" s="52">
        <v>408.70749999999998</v>
      </c>
      <c r="G177" s="52">
        <v>136.23580000000001</v>
      </c>
      <c r="H177" s="52">
        <v>136.23580000000001</v>
      </c>
      <c r="I177" s="52">
        <v>272.47160000000002</v>
      </c>
      <c r="J177" s="52">
        <v>272.47160000000002</v>
      </c>
      <c r="K177" s="52">
        <v>817.41489999999999</v>
      </c>
      <c r="L177" s="52">
        <v>272.47160000000002</v>
      </c>
      <c r="M177" s="52">
        <v>272.47160000000002</v>
      </c>
      <c r="N177" s="5" t="s">
        <v>69</v>
      </c>
    </row>
    <row r="178" spans="1:14" x14ac:dyDescent="0.25">
      <c r="A178" s="51">
        <v>0.96699999999999997</v>
      </c>
      <c r="B178" s="52">
        <v>2727.5371</v>
      </c>
      <c r="C178" s="52">
        <v>136.37690000000001</v>
      </c>
      <c r="D178" s="52">
        <v>0</v>
      </c>
      <c r="E178" s="52">
        <v>0</v>
      </c>
      <c r="F178" s="52">
        <v>409.13060000000002</v>
      </c>
      <c r="G178" s="52">
        <v>136.37690000000001</v>
      </c>
      <c r="H178" s="52">
        <v>136.37690000000001</v>
      </c>
      <c r="I178" s="52">
        <v>272.75369999999998</v>
      </c>
      <c r="J178" s="52">
        <v>272.75369999999998</v>
      </c>
      <c r="K178" s="52">
        <v>818.26110000000006</v>
      </c>
      <c r="L178" s="52">
        <v>272.75369999999998</v>
      </c>
      <c r="M178" s="52">
        <v>272.75369999999998</v>
      </c>
      <c r="N178" s="5" t="s">
        <v>69</v>
      </c>
    </row>
    <row r="179" spans="1:14" x14ac:dyDescent="0.25">
      <c r="A179" s="51">
        <v>0.96799999999999997</v>
      </c>
      <c r="B179" s="52">
        <v>2730.3577</v>
      </c>
      <c r="C179" s="52">
        <v>136.5179</v>
      </c>
      <c r="D179" s="52">
        <v>0</v>
      </c>
      <c r="E179" s="52">
        <v>0</v>
      </c>
      <c r="F179" s="52">
        <v>409.55369999999999</v>
      </c>
      <c r="G179" s="52">
        <v>136.5179</v>
      </c>
      <c r="H179" s="52">
        <v>136.5179</v>
      </c>
      <c r="I179" s="52">
        <v>273.03579999999999</v>
      </c>
      <c r="J179" s="52">
        <v>273.03579999999999</v>
      </c>
      <c r="K179" s="52">
        <v>819.10730000000001</v>
      </c>
      <c r="L179" s="52">
        <v>273.03579999999999</v>
      </c>
      <c r="M179" s="52">
        <v>273.03579999999999</v>
      </c>
      <c r="N179" s="5" t="s">
        <v>69</v>
      </c>
    </row>
    <row r="180" spans="1:14" x14ac:dyDescent="0.25">
      <c r="A180" s="51">
        <v>0.96899999999999997</v>
      </c>
      <c r="B180" s="52">
        <v>2733.1783999999998</v>
      </c>
      <c r="C180" s="52">
        <v>136.65889999999999</v>
      </c>
      <c r="D180" s="52">
        <v>0</v>
      </c>
      <c r="E180" s="52">
        <v>0</v>
      </c>
      <c r="F180" s="52">
        <v>409.97680000000003</v>
      </c>
      <c r="G180" s="52">
        <v>136.65889999999999</v>
      </c>
      <c r="H180" s="52">
        <v>136.65889999999999</v>
      </c>
      <c r="I180" s="52">
        <v>273.31779999999998</v>
      </c>
      <c r="J180" s="52">
        <v>273.31779999999998</v>
      </c>
      <c r="K180" s="52">
        <v>819.95349999999996</v>
      </c>
      <c r="L180" s="52">
        <v>273.31779999999998</v>
      </c>
      <c r="M180" s="52">
        <v>273.31779999999998</v>
      </c>
      <c r="N180" s="5" t="s">
        <v>69</v>
      </c>
    </row>
    <row r="181" spans="1:14" x14ac:dyDescent="0.25">
      <c r="A181" s="51">
        <v>0.97</v>
      </c>
      <c r="B181" s="52">
        <v>2735.9989999999998</v>
      </c>
      <c r="C181" s="52">
        <v>136.79990000000001</v>
      </c>
      <c r="D181" s="52">
        <v>0</v>
      </c>
      <c r="E181" s="52">
        <v>0</v>
      </c>
      <c r="F181" s="52">
        <v>410.39980000000003</v>
      </c>
      <c r="G181" s="52">
        <v>136.79990000000001</v>
      </c>
      <c r="H181" s="52">
        <v>136.79990000000001</v>
      </c>
      <c r="I181" s="52">
        <v>273.59989999999999</v>
      </c>
      <c r="J181" s="52">
        <v>273.59989999999999</v>
      </c>
      <c r="K181" s="52">
        <v>820.79970000000003</v>
      </c>
      <c r="L181" s="52">
        <v>273.59989999999999</v>
      </c>
      <c r="M181" s="52">
        <v>273.59989999999999</v>
      </c>
      <c r="N181" s="5" t="s">
        <v>69</v>
      </c>
    </row>
    <row r="182" spans="1:14" x14ac:dyDescent="0.25">
      <c r="A182" s="51">
        <v>0.97099999999999997</v>
      </c>
      <c r="B182" s="52">
        <v>2738.8195999999998</v>
      </c>
      <c r="C182" s="52">
        <v>136.941</v>
      </c>
      <c r="D182" s="52">
        <v>0</v>
      </c>
      <c r="E182" s="52">
        <v>0</v>
      </c>
      <c r="F182" s="52">
        <v>410.8229</v>
      </c>
      <c r="G182" s="52">
        <v>136.941</v>
      </c>
      <c r="H182" s="52">
        <v>136.941</v>
      </c>
      <c r="I182" s="52">
        <v>273.88200000000001</v>
      </c>
      <c r="J182" s="52">
        <v>273.88200000000001</v>
      </c>
      <c r="K182" s="52">
        <v>821.64589999999998</v>
      </c>
      <c r="L182" s="52">
        <v>273.88200000000001</v>
      </c>
      <c r="M182" s="52">
        <v>273.88200000000001</v>
      </c>
      <c r="N182" s="5" t="s">
        <v>69</v>
      </c>
    </row>
    <row r="183" spans="1:14" x14ac:dyDescent="0.25">
      <c r="A183" s="51">
        <v>0.97199999999999998</v>
      </c>
      <c r="B183" s="52">
        <v>2741.6401999999998</v>
      </c>
      <c r="C183" s="52">
        <v>137.08199999999999</v>
      </c>
      <c r="D183" s="52">
        <v>0</v>
      </c>
      <c r="E183" s="52">
        <v>0</v>
      </c>
      <c r="F183" s="52">
        <v>411.24599999999998</v>
      </c>
      <c r="G183" s="52">
        <v>137.08199999999999</v>
      </c>
      <c r="H183" s="52">
        <v>137.08199999999999</v>
      </c>
      <c r="I183" s="52">
        <v>274.16399999999999</v>
      </c>
      <c r="J183" s="52">
        <v>274.16399999999999</v>
      </c>
      <c r="K183" s="52">
        <v>822.49210000000005</v>
      </c>
      <c r="L183" s="52">
        <v>274.16399999999999</v>
      </c>
      <c r="M183" s="52">
        <v>274.16399999999999</v>
      </c>
      <c r="N183" s="5" t="s">
        <v>69</v>
      </c>
    </row>
    <row r="184" spans="1:14" x14ac:dyDescent="0.25">
      <c r="A184" s="51">
        <v>0.97299999999999998</v>
      </c>
      <c r="B184" s="52">
        <v>2744.4607999999998</v>
      </c>
      <c r="C184" s="52">
        <v>137.22300000000001</v>
      </c>
      <c r="D184" s="52">
        <v>0</v>
      </c>
      <c r="E184" s="52">
        <v>0</v>
      </c>
      <c r="F184" s="52">
        <v>411.66910000000001</v>
      </c>
      <c r="G184" s="52">
        <v>137.22300000000001</v>
      </c>
      <c r="H184" s="52">
        <v>137.22300000000001</v>
      </c>
      <c r="I184" s="52">
        <v>274.4461</v>
      </c>
      <c r="J184" s="52">
        <v>274.4461</v>
      </c>
      <c r="K184" s="52">
        <v>823.33820000000003</v>
      </c>
      <c r="L184" s="52">
        <v>274.4461</v>
      </c>
      <c r="M184" s="52">
        <v>274.4461</v>
      </c>
      <c r="N184" s="5" t="s">
        <v>69</v>
      </c>
    </row>
    <row r="185" spans="1:14" x14ac:dyDescent="0.25">
      <c r="A185" s="51">
        <v>0.97399999999999998</v>
      </c>
      <c r="B185" s="52">
        <v>2747.2813999999998</v>
      </c>
      <c r="C185" s="52">
        <v>137.36410000000001</v>
      </c>
      <c r="D185" s="52">
        <v>0</v>
      </c>
      <c r="E185" s="52">
        <v>0</v>
      </c>
      <c r="F185" s="52">
        <v>412.09219999999999</v>
      </c>
      <c r="G185" s="52">
        <v>137.36410000000001</v>
      </c>
      <c r="H185" s="52">
        <v>137.36410000000001</v>
      </c>
      <c r="I185" s="52">
        <v>274.72809999999998</v>
      </c>
      <c r="J185" s="52">
        <v>274.72809999999998</v>
      </c>
      <c r="K185" s="52">
        <v>824.18439999999998</v>
      </c>
      <c r="L185" s="52">
        <v>274.72809999999998</v>
      </c>
      <c r="M185" s="52">
        <v>274.72809999999998</v>
      </c>
      <c r="N185" s="5" t="s">
        <v>69</v>
      </c>
    </row>
    <row r="186" spans="1:14" x14ac:dyDescent="0.25">
      <c r="A186" s="51">
        <v>0.97499999999999998</v>
      </c>
      <c r="B186" s="52">
        <v>2750.1021000000001</v>
      </c>
      <c r="C186" s="52">
        <v>137.5051</v>
      </c>
      <c r="D186" s="52">
        <v>0</v>
      </c>
      <c r="E186" s="52">
        <v>0</v>
      </c>
      <c r="F186" s="52">
        <v>412.51530000000002</v>
      </c>
      <c r="G186" s="52">
        <v>137.5051</v>
      </c>
      <c r="H186" s="52">
        <v>137.5051</v>
      </c>
      <c r="I186" s="52">
        <v>275.0102</v>
      </c>
      <c r="J186" s="52">
        <v>275.0102</v>
      </c>
      <c r="K186" s="52">
        <v>825.03060000000005</v>
      </c>
      <c r="L186" s="52">
        <v>275.0102</v>
      </c>
      <c r="M186" s="52">
        <v>275.0102</v>
      </c>
      <c r="N186" s="5" t="s">
        <v>69</v>
      </c>
    </row>
    <row r="187" spans="1:14" x14ac:dyDescent="0.25">
      <c r="A187" s="51">
        <v>0.97599999999999998</v>
      </c>
      <c r="B187" s="52">
        <v>2752.9227000000001</v>
      </c>
      <c r="C187" s="52">
        <v>137.64609999999999</v>
      </c>
      <c r="D187" s="52">
        <v>0</v>
      </c>
      <c r="E187" s="52">
        <v>0</v>
      </c>
      <c r="F187" s="52">
        <v>412.9384</v>
      </c>
      <c r="G187" s="52">
        <v>137.64609999999999</v>
      </c>
      <c r="H187" s="52">
        <v>137.64609999999999</v>
      </c>
      <c r="I187" s="52">
        <v>275.29230000000001</v>
      </c>
      <c r="J187" s="52">
        <v>275.29230000000001</v>
      </c>
      <c r="K187" s="52">
        <v>825.8768</v>
      </c>
      <c r="L187" s="52">
        <v>275.29230000000001</v>
      </c>
      <c r="M187" s="52">
        <v>275.29230000000001</v>
      </c>
      <c r="N187" s="5" t="s">
        <v>69</v>
      </c>
    </row>
    <row r="188" spans="1:14" x14ac:dyDescent="0.25">
      <c r="A188" s="51">
        <v>0.97699999999999998</v>
      </c>
      <c r="B188" s="52">
        <v>2755.7433000000001</v>
      </c>
      <c r="C188" s="52">
        <v>137.78720000000001</v>
      </c>
      <c r="D188" s="52">
        <v>0</v>
      </c>
      <c r="E188" s="52">
        <v>0</v>
      </c>
      <c r="F188" s="52">
        <v>413.36149999999998</v>
      </c>
      <c r="G188" s="52">
        <v>137.78720000000001</v>
      </c>
      <c r="H188" s="52">
        <v>137.78720000000001</v>
      </c>
      <c r="I188" s="52">
        <v>275.57429999999999</v>
      </c>
      <c r="J188" s="52">
        <v>275.57429999999999</v>
      </c>
      <c r="K188" s="52">
        <v>826.72299999999996</v>
      </c>
      <c r="L188" s="52">
        <v>275.57429999999999</v>
      </c>
      <c r="M188" s="52">
        <v>275.57429999999999</v>
      </c>
      <c r="N188" s="5" t="s">
        <v>69</v>
      </c>
    </row>
    <row r="189" spans="1:14" x14ac:dyDescent="0.25">
      <c r="A189" s="51">
        <v>0.97799999999999998</v>
      </c>
      <c r="B189" s="52">
        <v>2758.5639000000001</v>
      </c>
      <c r="C189" s="52">
        <v>137.9282</v>
      </c>
      <c r="D189" s="52">
        <v>0</v>
      </c>
      <c r="E189" s="52">
        <v>0</v>
      </c>
      <c r="F189" s="52">
        <v>413.78460000000001</v>
      </c>
      <c r="G189" s="52">
        <v>137.9282</v>
      </c>
      <c r="H189" s="52">
        <v>137.9282</v>
      </c>
      <c r="I189" s="52">
        <v>275.85640000000001</v>
      </c>
      <c r="J189" s="52">
        <v>275.85640000000001</v>
      </c>
      <c r="K189" s="52">
        <v>827.56920000000002</v>
      </c>
      <c r="L189" s="52">
        <v>275.85640000000001</v>
      </c>
      <c r="M189" s="52">
        <v>275.85640000000001</v>
      </c>
      <c r="N189" s="5" t="s">
        <v>69</v>
      </c>
    </row>
    <row r="190" spans="1:14" x14ac:dyDescent="0.25">
      <c r="A190" s="51">
        <v>0.97899999999999998</v>
      </c>
      <c r="B190" s="52">
        <v>2761.3845000000001</v>
      </c>
      <c r="C190" s="52">
        <v>138.0692</v>
      </c>
      <c r="D190" s="52">
        <v>0</v>
      </c>
      <c r="E190" s="52">
        <v>0</v>
      </c>
      <c r="F190" s="52">
        <v>414.20769999999999</v>
      </c>
      <c r="G190" s="52">
        <v>138.0692</v>
      </c>
      <c r="H190" s="52">
        <v>138.0692</v>
      </c>
      <c r="I190" s="52">
        <v>276.13850000000002</v>
      </c>
      <c r="J190" s="52">
        <v>276.13850000000002</v>
      </c>
      <c r="K190" s="52">
        <v>828.41539999999998</v>
      </c>
      <c r="L190" s="52">
        <v>276.13850000000002</v>
      </c>
      <c r="M190" s="52">
        <v>276.13850000000002</v>
      </c>
      <c r="N190" s="5" t="s">
        <v>69</v>
      </c>
    </row>
    <row r="191" spans="1:14" x14ac:dyDescent="0.25">
      <c r="A191" s="51">
        <v>0.98</v>
      </c>
      <c r="B191" s="52">
        <v>2764.2051000000001</v>
      </c>
      <c r="C191" s="52">
        <v>138.21029999999999</v>
      </c>
      <c r="D191" s="52">
        <v>0</v>
      </c>
      <c r="E191" s="52">
        <v>0</v>
      </c>
      <c r="F191" s="52">
        <v>414.63080000000002</v>
      </c>
      <c r="G191" s="52">
        <v>138.21029999999999</v>
      </c>
      <c r="H191" s="52">
        <v>138.21029999999999</v>
      </c>
      <c r="I191" s="52">
        <v>276.4205</v>
      </c>
      <c r="J191" s="52">
        <v>276.4205</v>
      </c>
      <c r="K191" s="52">
        <v>829.26149999999996</v>
      </c>
      <c r="L191" s="52">
        <v>276.4205</v>
      </c>
      <c r="M191" s="52">
        <v>276.4205</v>
      </c>
      <c r="N191" s="5" t="s">
        <v>69</v>
      </c>
    </row>
    <row r="192" spans="1:14" x14ac:dyDescent="0.25">
      <c r="A192" s="51">
        <v>0.98099999999999998</v>
      </c>
      <c r="B192" s="52">
        <v>2767.0257999999999</v>
      </c>
      <c r="C192" s="52">
        <v>138.35130000000001</v>
      </c>
      <c r="D192" s="52">
        <v>0</v>
      </c>
      <c r="E192" s="52">
        <v>0</v>
      </c>
      <c r="F192" s="52">
        <v>415.0539</v>
      </c>
      <c r="G192" s="52">
        <v>138.35130000000001</v>
      </c>
      <c r="H192" s="52">
        <v>138.35130000000001</v>
      </c>
      <c r="I192" s="52">
        <v>276.70260000000002</v>
      </c>
      <c r="J192" s="52">
        <v>276.70260000000002</v>
      </c>
      <c r="K192" s="52">
        <v>830.10770000000002</v>
      </c>
      <c r="L192" s="52">
        <v>276.70260000000002</v>
      </c>
      <c r="M192" s="52">
        <v>276.70260000000002</v>
      </c>
      <c r="N192" s="5" t="s">
        <v>69</v>
      </c>
    </row>
    <row r="193" spans="1:14" x14ac:dyDescent="0.25">
      <c r="A193" s="51">
        <v>0.98199999999999998</v>
      </c>
      <c r="B193" s="52">
        <v>2769.8463999999999</v>
      </c>
      <c r="C193" s="52">
        <v>138.4923</v>
      </c>
      <c r="D193" s="52">
        <v>0</v>
      </c>
      <c r="E193" s="52">
        <v>0</v>
      </c>
      <c r="F193" s="52">
        <v>415.47699999999998</v>
      </c>
      <c r="G193" s="52">
        <v>138.4923</v>
      </c>
      <c r="H193" s="52">
        <v>138.4923</v>
      </c>
      <c r="I193" s="52">
        <v>276.9846</v>
      </c>
      <c r="J193" s="52">
        <v>276.9846</v>
      </c>
      <c r="K193" s="52">
        <v>830.95389999999998</v>
      </c>
      <c r="L193" s="52">
        <v>276.9846</v>
      </c>
      <c r="M193" s="52">
        <v>276.9846</v>
      </c>
      <c r="N193" s="5" t="s">
        <v>69</v>
      </c>
    </row>
    <row r="194" spans="1:14" x14ac:dyDescent="0.25">
      <c r="A194" s="51">
        <v>0.98299999999999998</v>
      </c>
      <c r="B194" s="52">
        <v>2772.6669999999999</v>
      </c>
      <c r="C194" s="52">
        <v>138.63329999999999</v>
      </c>
      <c r="D194" s="52">
        <v>0</v>
      </c>
      <c r="E194" s="52">
        <v>0</v>
      </c>
      <c r="F194" s="52">
        <v>415.9</v>
      </c>
      <c r="G194" s="52">
        <v>138.63329999999999</v>
      </c>
      <c r="H194" s="52">
        <v>138.63329999999999</v>
      </c>
      <c r="I194" s="52">
        <v>277.26670000000001</v>
      </c>
      <c r="J194" s="52">
        <v>277.26670000000001</v>
      </c>
      <c r="K194" s="52">
        <v>831.80010000000004</v>
      </c>
      <c r="L194" s="52">
        <v>277.26670000000001</v>
      </c>
      <c r="M194" s="52">
        <v>277.26670000000001</v>
      </c>
      <c r="N194" s="5" t="s">
        <v>69</v>
      </c>
    </row>
    <row r="195" spans="1:14" x14ac:dyDescent="0.25">
      <c r="A195" s="51">
        <v>0.98399999999999999</v>
      </c>
      <c r="B195" s="52">
        <v>2775.4875999999999</v>
      </c>
      <c r="C195" s="52">
        <v>138.77440000000001</v>
      </c>
      <c r="D195" s="52">
        <v>0</v>
      </c>
      <c r="E195" s="52">
        <v>0</v>
      </c>
      <c r="F195" s="52">
        <v>416.32310000000001</v>
      </c>
      <c r="G195" s="52">
        <v>138.77440000000001</v>
      </c>
      <c r="H195" s="52">
        <v>138.77440000000001</v>
      </c>
      <c r="I195" s="52">
        <v>277.54880000000003</v>
      </c>
      <c r="J195" s="52">
        <v>277.54880000000003</v>
      </c>
      <c r="K195" s="52">
        <v>832.6463</v>
      </c>
      <c r="L195" s="52">
        <v>277.54880000000003</v>
      </c>
      <c r="M195" s="52">
        <v>277.54880000000003</v>
      </c>
      <c r="N195" s="5" t="s">
        <v>69</v>
      </c>
    </row>
    <row r="196" spans="1:14" x14ac:dyDescent="0.25">
      <c r="A196" s="51">
        <v>0.98499999999999999</v>
      </c>
      <c r="B196" s="52">
        <v>2778.3081999999999</v>
      </c>
      <c r="C196" s="52">
        <v>138.91540000000001</v>
      </c>
      <c r="D196" s="52">
        <v>0</v>
      </c>
      <c r="E196" s="52">
        <v>0</v>
      </c>
      <c r="F196" s="52">
        <v>416.74619999999999</v>
      </c>
      <c r="G196" s="52">
        <v>138.91540000000001</v>
      </c>
      <c r="H196" s="52">
        <v>138.91540000000001</v>
      </c>
      <c r="I196" s="52">
        <v>277.83080000000001</v>
      </c>
      <c r="J196" s="52">
        <v>277.83080000000001</v>
      </c>
      <c r="K196" s="52">
        <v>833.49249999999995</v>
      </c>
      <c r="L196" s="52">
        <v>277.83080000000001</v>
      </c>
      <c r="M196" s="52">
        <v>277.83080000000001</v>
      </c>
      <c r="N196" s="5" t="s">
        <v>69</v>
      </c>
    </row>
    <row r="197" spans="1:14" x14ac:dyDescent="0.25">
      <c r="A197" s="51">
        <v>0.98599999999999999</v>
      </c>
      <c r="B197" s="52">
        <v>2781.1288</v>
      </c>
      <c r="C197" s="52">
        <v>139.0564</v>
      </c>
      <c r="D197" s="52">
        <v>0</v>
      </c>
      <c r="E197" s="52">
        <v>0</v>
      </c>
      <c r="F197" s="52">
        <v>417.16930000000002</v>
      </c>
      <c r="G197" s="52">
        <v>139.0564</v>
      </c>
      <c r="H197" s="52">
        <v>139.0564</v>
      </c>
      <c r="I197" s="52">
        <v>278.11290000000002</v>
      </c>
      <c r="J197" s="52">
        <v>278.11290000000002</v>
      </c>
      <c r="K197" s="52">
        <v>834.33870000000002</v>
      </c>
      <c r="L197" s="52">
        <v>278.11290000000002</v>
      </c>
      <c r="M197" s="52">
        <v>278.11290000000002</v>
      </c>
      <c r="N197" s="5" t="s">
        <v>69</v>
      </c>
    </row>
    <row r="198" spans="1:14" x14ac:dyDescent="0.25">
      <c r="A198" s="51">
        <v>0.98699999999999999</v>
      </c>
      <c r="B198" s="52">
        <v>2783.9495000000002</v>
      </c>
      <c r="C198" s="52">
        <v>139.19749999999999</v>
      </c>
      <c r="D198" s="52">
        <v>0</v>
      </c>
      <c r="E198" s="52">
        <v>0</v>
      </c>
      <c r="F198" s="52">
        <v>417.5924</v>
      </c>
      <c r="G198" s="52">
        <v>139.19749999999999</v>
      </c>
      <c r="H198" s="52">
        <v>139.19749999999999</v>
      </c>
      <c r="I198" s="52">
        <v>278.39490000000001</v>
      </c>
      <c r="J198" s="52">
        <v>278.39490000000001</v>
      </c>
      <c r="K198" s="52">
        <v>835.1848</v>
      </c>
      <c r="L198" s="52">
        <v>278.39490000000001</v>
      </c>
      <c r="M198" s="52">
        <v>278.39490000000001</v>
      </c>
      <c r="N198" s="5" t="s">
        <v>69</v>
      </c>
    </row>
    <row r="199" spans="1:14" x14ac:dyDescent="0.25">
      <c r="A199" s="51">
        <v>0.98799999999999999</v>
      </c>
      <c r="B199" s="52">
        <v>2786.7701000000002</v>
      </c>
      <c r="C199" s="52">
        <v>139.33850000000001</v>
      </c>
      <c r="D199" s="52">
        <v>0</v>
      </c>
      <c r="E199" s="52">
        <v>0</v>
      </c>
      <c r="F199" s="52">
        <v>418.01549999999997</v>
      </c>
      <c r="G199" s="52">
        <v>139.33850000000001</v>
      </c>
      <c r="H199" s="52">
        <v>139.33850000000001</v>
      </c>
      <c r="I199" s="52">
        <v>278.67700000000002</v>
      </c>
      <c r="J199" s="52">
        <v>278.67700000000002</v>
      </c>
      <c r="K199" s="52">
        <v>836.03099999999995</v>
      </c>
      <c r="L199" s="52">
        <v>278.67700000000002</v>
      </c>
      <c r="M199" s="52">
        <v>278.67700000000002</v>
      </c>
      <c r="N199" s="5" t="s">
        <v>69</v>
      </c>
    </row>
    <row r="200" spans="1:14" x14ac:dyDescent="0.25">
      <c r="A200" s="51">
        <v>0.98899999999999999</v>
      </c>
      <c r="B200" s="52">
        <v>2789.5907000000002</v>
      </c>
      <c r="C200" s="52">
        <v>139.4795</v>
      </c>
      <c r="D200" s="52">
        <v>0</v>
      </c>
      <c r="E200" s="52">
        <v>0</v>
      </c>
      <c r="F200" s="52">
        <v>418.43860000000001</v>
      </c>
      <c r="G200" s="52">
        <v>139.4795</v>
      </c>
      <c r="H200" s="52">
        <v>139.4795</v>
      </c>
      <c r="I200" s="52">
        <v>278.95909999999998</v>
      </c>
      <c r="J200" s="52">
        <v>278.95909999999998</v>
      </c>
      <c r="K200" s="52">
        <v>836.87720000000002</v>
      </c>
      <c r="L200" s="52">
        <v>278.95909999999998</v>
      </c>
      <c r="M200" s="52">
        <v>278.95909999999998</v>
      </c>
      <c r="N200" s="5" t="s">
        <v>69</v>
      </c>
    </row>
    <row r="201" spans="1:14" x14ac:dyDescent="0.25">
      <c r="A201" s="51">
        <v>0.99</v>
      </c>
      <c r="B201" s="52">
        <v>2792.4113000000002</v>
      </c>
      <c r="C201" s="52">
        <v>139.6206</v>
      </c>
      <c r="D201" s="52">
        <v>0</v>
      </c>
      <c r="E201" s="52">
        <v>0</v>
      </c>
      <c r="F201" s="52">
        <v>418.86169999999998</v>
      </c>
      <c r="G201" s="52">
        <v>139.6206</v>
      </c>
      <c r="H201" s="52">
        <v>139.6206</v>
      </c>
      <c r="I201" s="52">
        <v>279.24110000000002</v>
      </c>
      <c r="J201" s="52">
        <v>279.24110000000002</v>
      </c>
      <c r="K201" s="52">
        <v>837.72339999999997</v>
      </c>
      <c r="L201" s="52">
        <v>279.24110000000002</v>
      </c>
      <c r="M201" s="52">
        <v>279.24110000000002</v>
      </c>
      <c r="N201" s="5" t="s">
        <v>69</v>
      </c>
    </row>
    <row r="202" spans="1:14" x14ac:dyDescent="0.25">
      <c r="A202" s="51">
        <v>0.99099999999999999</v>
      </c>
      <c r="B202" s="52">
        <v>2795.2319000000002</v>
      </c>
      <c r="C202" s="52">
        <v>139.76159999999999</v>
      </c>
      <c r="D202" s="52">
        <v>0</v>
      </c>
      <c r="E202" s="52">
        <v>0</v>
      </c>
      <c r="F202" s="52">
        <v>419.28480000000002</v>
      </c>
      <c r="G202" s="52">
        <v>139.76159999999999</v>
      </c>
      <c r="H202" s="52">
        <v>139.76159999999999</v>
      </c>
      <c r="I202" s="52">
        <v>279.52319999999997</v>
      </c>
      <c r="J202" s="52">
        <v>279.52319999999997</v>
      </c>
      <c r="K202" s="52">
        <v>838.56960000000004</v>
      </c>
      <c r="L202" s="52">
        <v>279.52319999999997</v>
      </c>
      <c r="M202" s="52">
        <v>279.52319999999997</v>
      </c>
      <c r="N202" s="5" t="s">
        <v>69</v>
      </c>
    </row>
    <row r="203" spans="1:14" x14ac:dyDescent="0.25">
      <c r="A203" s="51">
        <v>0.99199999999999999</v>
      </c>
      <c r="B203" s="52">
        <v>2798.0526</v>
      </c>
      <c r="C203" s="52">
        <v>139.90260000000001</v>
      </c>
      <c r="D203" s="52">
        <v>0</v>
      </c>
      <c r="E203" s="52">
        <v>0</v>
      </c>
      <c r="F203" s="52">
        <v>419.7079</v>
      </c>
      <c r="G203" s="52">
        <v>139.90260000000001</v>
      </c>
      <c r="H203" s="52">
        <v>139.90260000000001</v>
      </c>
      <c r="I203" s="52">
        <v>279.80529999999999</v>
      </c>
      <c r="J203" s="52">
        <v>279.80529999999999</v>
      </c>
      <c r="K203" s="52">
        <v>839.41579999999999</v>
      </c>
      <c r="L203" s="52">
        <v>279.80529999999999</v>
      </c>
      <c r="M203" s="52">
        <v>279.80529999999999</v>
      </c>
      <c r="N203" s="5" t="s">
        <v>69</v>
      </c>
    </row>
    <row r="204" spans="1:14" x14ac:dyDescent="0.25">
      <c r="A204" s="51">
        <v>0.99299999999999999</v>
      </c>
      <c r="B204" s="52">
        <v>2800.8732</v>
      </c>
      <c r="C204" s="52">
        <v>140.0437</v>
      </c>
      <c r="D204" s="52">
        <v>0</v>
      </c>
      <c r="E204" s="52">
        <v>0</v>
      </c>
      <c r="F204" s="52">
        <v>420.13099999999997</v>
      </c>
      <c r="G204" s="52">
        <v>140.0437</v>
      </c>
      <c r="H204" s="52">
        <v>140.0437</v>
      </c>
      <c r="I204" s="52">
        <v>280.08730000000003</v>
      </c>
      <c r="J204" s="52">
        <v>280.08730000000003</v>
      </c>
      <c r="K204" s="52">
        <v>840.26199999999994</v>
      </c>
      <c r="L204" s="52">
        <v>280.08730000000003</v>
      </c>
      <c r="M204" s="52">
        <v>280.08730000000003</v>
      </c>
      <c r="N204" s="5" t="s">
        <v>69</v>
      </c>
    </row>
    <row r="205" spans="1:14" x14ac:dyDescent="0.25">
      <c r="A205" s="51">
        <v>0.99399999999999999</v>
      </c>
      <c r="B205" s="52">
        <v>2803.6938</v>
      </c>
      <c r="C205" s="52">
        <v>140.18469999999999</v>
      </c>
      <c r="D205" s="52">
        <v>0</v>
      </c>
      <c r="E205" s="52">
        <v>0</v>
      </c>
      <c r="F205" s="52">
        <v>420.55410000000001</v>
      </c>
      <c r="G205" s="52">
        <v>140.18469999999999</v>
      </c>
      <c r="H205" s="52">
        <v>140.18469999999999</v>
      </c>
      <c r="I205" s="52">
        <v>280.36939999999998</v>
      </c>
      <c r="J205" s="52">
        <v>280.36939999999998</v>
      </c>
      <c r="K205" s="52">
        <v>841.10810000000004</v>
      </c>
      <c r="L205" s="52">
        <v>280.36939999999998</v>
      </c>
      <c r="M205" s="52">
        <v>280.36939999999998</v>
      </c>
      <c r="N205" s="5" t="s">
        <v>69</v>
      </c>
    </row>
    <row r="206" spans="1:14" x14ac:dyDescent="0.25">
      <c r="A206" s="51">
        <v>0.995</v>
      </c>
      <c r="B206" s="52">
        <v>2806.5144</v>
      </c>
      <c r="C206" s="52">
        <v>140.32570000000001</v>
      </c>
      <c r="D206" s="52">
        <v>0</v>
      </c>
      <c r="E206" s="52">
        <v>0</v>
      </c>
      <c r="F206" s="52">
        <v>420.97719999999998</v>
      </c>
      <c r="G206" s="52">
        <v>140.32570000000001</v>
      </c>
      <c r="H206" s="52">
        <v>140.32570000000001</v>
      </c>
      <c r="I206" s="52">
        <v>280.65140000000002</v>
      </c>
      <c r="J206" s="52">
        <v>280.65140000000002</v>
      </c>
      <c r="K206" s="52">
        <v>841.95429999999999</v>
      </c>
      <c r="L206" s="52">
        <v>280.65140000000002</v>
      </c>
      <c r="M206" s="52">
        <v>280.65140000000002</v>
      </c>
      <c r="N206" s="5" t="s">
        <v>69</v>
      </c>
    </row>
    <row r="207" spans="1:14" x14ac:dyDescent="0.25">
      <c r="A207" s="51">
        <v>0.996</v>
      </c>
      <c r="B207" s="52">
        <v>2809.335</v>
      </c>
      <c r="C207" s="52">
        <v>140.46680000000001</v>
      </c>
      <c r="D207" s="52">
        <v>0</v>
      </c>
      <c r="E207" s="52">
        <v>0</v>
      </c>
      <c r="F207" s="52">
        <v>421.40030000000002</v>
      </c>
      <c r="G207" s="52">
        <v>140.46680000000001</v>
      </c>
      <c r="H207" s="52">
        <v>140.46680000000001</v>
      </c>
      <c r="I207" s="52">
        <v>280.93349999999998</v>
      </c>
      <c r="J207" s="52">
        <v>280.93349999999998</v>
      </c>
      <c r="K207" s="52">
        <v>842.80050000000006</v>
      </c>
      <c r="L207" s="52">
        <v>280.93349999999998</v>
      </c>
      <c r="M207" s="52">
        <v>280.93349999999998</v>
      </c>
      <c r="N207" s="5" t="s">
        <v>69</v>
      </c>
    </row>
    <row r="208" spans="1:14" x14ac:dyDescent="0.25">
      <c r="A208" s="51">
        <v>0.997</v>
      </c>
      <c r="B208" s="52">
        <v>2812.1556</v>
      </c>
      <c r="C208" s="52">
        <v>140.6078</v>
      </c>
      <c r="D208" s="52">
        <v>0</v>
      </c>
      <c r="E208" s="52">
        <v>0</v>
      </c>
      <c r="F208" s="52">
        <v>421.82330000000002</v>
      </c>
      <c r="G208" s="52">
        <v>140.6078</v>
      </c>
      <c r="H208" s="52">
        <v>140.6078</v>
      </c>
      <c r="I208" s="52">
        <v>281.21559999999999</v>
      </c>
      <c r="J208" s="52">
        <v>281.21559999999999</v>
      </c>
      <c r="K208" s="52">
        <v>843.64670000000001</v>
      </c>
      <c r="L208" s="52">
        <v>281.21559999999999</v>
      </c>
      <c r="M208" s="52">
        <v>281.21559999999999</v>
      </c>
      <c r="N208" s="5" t="s">
        <v>69</v>
      </c>
    </row>
    <row r="209" spans="1:14" x14ac:dyDescent="0.25">
      <c r="A209" s="51">
        <v>0.998</v>
      </c>
      <c r="B209" s="52">
        <v>2814.9762999999998</v>
      </c>
      <c r="C209" s="52">
        <v>140.74879999999999</v>
      </c>
      <c r="D209" s="52">
        <v>0</v>
      </c>
      <c r="E209" s="52">
        <v>0</v>
      </c>
      <c r="F209" s="52">
        <v>422.24639999999999</v>
      </c>
      <c r="G209" s="52">
        <v>140.74879999999999</v>
      </c>
      <c r="H209" s="52">
        <v>140.74879999999999</v>
      </c>
      <c r="I209" s="52">
        <v>281.49759999999998</v>
      </c>
      <c r="J209" s="52">
        <v>281.49759999999998</v>
      </c>
      <c r="K209" s="52">
        <v>844.49289999999996</v>
      </c>
      <c r="L209" s="52">
        <v>281.49759999999998</v>
      </c>
      <c r="M209" s="52">
        <v>281.49759999999998</v>
      </c>
      <c r="N209" s="5" t="s">
        <v>69</v>
      </c>
    </row>
    <row r="210" spans="1:14" x14ac:dyDescent="0.25">
      <c r="A210" s="51">
        <v>0.999</v>
      </c>
      <c r="B210" s="52">
        <v>2817.7968999999998</v>
      </c>
      <c r="C210" s="52">
        <v>140.88980000000001</v>
      </c>
      <c r="D210" s="52">
        <v>0</v>
      </c>
      <c r="E210" s="52">
        <v>0</v>
      </c>
      <c r="F210" s="52">
        <v>422.66950000000003</v>
      </c>
      <c r="G210" s="52">
        <v>140.88980000000001</v>
      </c>
      <c r="H210" s="52">
        <v>140.88980000000001</v>
      </c>
      <c r="I210" s="52">
        <v>281.77969999999999</v>
      </c>
      <c r="J210" s="52">
        <v>281.77969999999999</v>
      </c>
      <c r="K210" s="52">
        <v>845.33910000000003</v>
      </c>
      <c r="L210" s="52">
        <v>281.77969999999999</v>
      </c>
      <c r="M210" s="52">
        <v>281.77969999999999</v>
      </c>
      <c r="N210" s="5" t="s">
        <v>69</v>
      </c>
    </row>
    <row r="211" spans="1:14" x14ac:dyDescent="0.25">
      <c r="A211" s="51">
        <v>1</v>
      </c>
      <c r="B211" s="52">
        <v>3760.8233</v>
      </c>
      <c r="C211" s="52">
        <v>188.0412</v>
      </c>
      <c r="D211" s="52">
        <v>0</v>
      </c>
      <c r="E211" s="52">
        <v>0</v>
      </c>
      <c r="F211" s="52">
        <v>564.12350000000004</v>
      </c>
      <c r="G211" s="52">
        <v>188.0412</v>
      </c>
      <c r="H211" s="52">
        <v>188.0412</v>
      </c>
      <c r="I211" s="52">
        <v>376.08229999999998</v>
      </c>
      <c r="J211" s="52">
        <v>376.08229999999998</v>
      </c>
      <c r="K211" s="52">
        <v>1128.2470000000001</v>
      </c>
      <c r="L211" s="52">
        <v>376.08229999999998</v>
      </c>
      <c r="M211" s="52">
        <v>376.08229999999998</v>
      </c>
      <c r="N211" s="5" t="s">
        <v>69</v>
      </c>
    </row>
    <row r="212" spans="1:14" x14ac:dyDescent="0.25">
      <c r="A212" s="51">
        <v>1.0009999999999999</v>
      </c>
      <c r="B212" s="52">
        <v>3762.3262</v>
      </c>
      <c r="C212" s="52">
        <v>188.22900000000001</v>
      </c>
      <c r="D212" s="52">
        <v>0</v>
      </c>
      <c r="E212" s="52">
        <v>0</v>
      </c>
      <c r="F212" s="52">
        <v>564.68709999999999</v>
      </c>
      <c r="G212" s="52">
        <v>188.22900000000001</v>
      </c>
      <c r="H212" s="52">
        <v>188.22900000000001</v>
      </c>
      <c r="I212" s="52">
        <v>376.45800000000003</v>
      </c>
      <c r="J212" s="52">
        <v>376.08229999999998</v>
      </c>
      <c r="K212" s="52">
        <v>1128.2470000000001</v>
      </c>
      <c r="L212" s="52">
        <v>376.08229999999998</v>
      </c>
      <c r="M212" s="52">
        <v>376.08229999999998</v>
      </c>
      <c r="N212" s="5" t="s">
        <v>69</v>
      </c>
    </row>
    <row r="213" spans="1:14" x14ac:dyDescent="0.25">
      <c r="A213" s="51">
        <v>1.002</v>
      </c>
      <c r="B213" s="52">
        <v>3763.8305</v>
      </c>
      <c r="C213" s="52">
        <v>188.4171</v>
      </c>
      <c r="D213" s="52">
        <v>0</v>
      </c>
      <c r="E213" s="52">
        <v>0</v>
      </c>
      <c r="F213" s="52">
        <v>565.25120000000004</v>
      </c>
      <c r="G213" s="52">
        <v>188.4171</v>
      </c>
      <c r="H213" s="52">
        <v>188.4171</v>
      </c>
      <c r="I213" s="52">
        <v>376.83409999999998</v>
      </c>
      <c r="J213" s="52">
        <v>376.08229999999998</v>
      </c>
      <c r="K213" s="52">
        <v>1128.2470000000001</v>
      </c>
      <c r="L213" s="52">
        <v>376.08229999999998</v>
      </c>
      <c r="M213" s="52">
        <v>376.08229999999998</v>
      </c>
      <c r="N213" s="5" t="s">
        <v>69</v>
      </c>
    </row>
    <row r="214" spans="1:14" x14ac:dyDescent="0.25">
      <c r="A214" s="51">
        <v>1.0029999999999999</v>
      </c>
      <c r="B214" s="52">
        <v>3765.3348000000001</v>
      </c>
      <c r="C214" s="52">
        <v>188.60509999999999</v>
      </c>
      <c r="D214" s="52">
        <v>0</v>
      </c>
      <c r="E214" s="52">
        <v>0</v>
      </c>
      <c r="F214" s="52">
        <v>565.81529999999998</v>
      </c>
      <c r="G214" s="52">
        <v>188.60509999999999</v>
      </c>
      <c r="H214" s="52">
        <v>188.60509999999999</v>
      </c>
      <c r="I214" s="52">
        <v>377.21019999999999</v>
      </c>
      <c r="J214" s="52">
        <v>376.08229999999998</v>
      </c>
      <c r="K214" s="52">
        <v>1128.2470000000001</v>
      </c>
      <c r="L214" s="52">
        <v>376.08229999999998</v>
      </c>
      <c r="M214" s="52">
        <v>376.08229999999998</v>
      </c>
      <c r="N214" s="5" t="s">
        <v>69</v>
      </c>
    </row>
    <row r="215" spans="1:14" x14ac:dyDescent="0.25">
      <c r="A215" s="51">
        <v>1.004</v>
      </c>
      <c r="B215" s="52">
        <v>3766.8391000000001</v>
      </c>
      <c r="C215" s="52">
        <v>188.79310000000001</v>
      </c>
      <c r="D215" s="52">
        <v>0</v>
      </c>
      <c r="E215" s="52">
        <v>0</v>
      </c>
      <c r="F215" s="52">
        <v>566.37940000000003</v>
      </c>
      <c r="G215" s="52">
        <v>188.79310000000001</v>
      </c>
      <c r="H215" s="52">
        <v>188.79310000000001</v>
      </c>
      <c r="I215" s="52">
        <v>377.58629999999999</v>
      </c>
      <c r="J215" s="52">
        <v>376.08229999999998</v>
      </c>
      <c r="K215" s="52">
        <v>1128.2470000000001</v>
      </c>
      <c r="L215" s="52">
        <v>376.08229999999998</v>
      </c>
      <c r="M215" s="52">
        <v>376.08229999999998</v>
      </c>
      <c r="N215" s="5" t="s">
        <v>69</v>
      </c>
    </row>
    <row r="216" spans="1:14" x14ac:dyDescent="0.25">
      <c r="A216" s="51">
        <v>1.0049999999999999</v>
      </c>
      <c r="B216" s="52">
        <v>3768.3434999999999</v>
      </c>
      <c r="C216" s="52">
        <v>188.9812</v>
      </c>
      <c r="D216" s="52">
        <v>0</v>
      </c>
      <c r="E216" s="52">
        <v>0</v>
      </c>
      <c r="F216" s="52">
        <v>566.94359999999995</v>
      </c>
      <c r="G216" s="52">
        <v>188.9812</v>
      </c>
      <c r="H216" s="52">
        <v>188.9812</v>
      </c>
      <c r="I216" s="52">
        <v>377.9624</v>
      </c>
      <c r="J216" s="52">
        <v>376.08229999999998</v>
      </c>
      <c r="K216" s="52">
        <v>1128.2470000000001</v>
      </c>
      <c r="L216" s="52">
        <v>376.08229999999998</v>
      </c>
      <c r="M216" s="52">
        <v>376.08229999999998</v>
      </c>
      <c r="N216" s="5" t="s">
        <v>69</v>
      </c>
    </row>
    <row r="217" spans="1:14" x14ac:dyDescent="0.25">
      <c r="A217" s="51">
        <v>1.006</v>
      </c>
      <c r="B217" s="52">
        <v>3769.8478</v>
      </c>
      <c r="C217" s="52">
        <v>189.16919999999999</v>
      </c>
      <c r="D217" s="52">
        <v>0</v>
      </c>
      <c r="E217" s="52">
        <v>0</v>
      </c>
      <c r="F217" s="52">
        <v>567.5077</v>
      </c>
      <c r="G217" s="52">
        <v>189.16919999999999</v>
      </c>
      <c r="H217" s="52">
        <v>189.16919999999999</v>
      </c>
      <c r="I217" s="52">
        <v>378.33839999999998</v>
      </c>
      <c r="J217" s="52">
        <v>376.08229999999998</v>
      </c>
      <c r="K217" s="52">
        <v>1128.2470000000001</v>
      </c>
      <c r="L217" s="52">
        <v>376.08229999999998</v>
      </c>
      <c r="M217" s="52">
        <v>376.08229999999998</v>
      </c>
      <c r="N217" s="5" t="s">
        <v>69</v>
      </c>
    </row>
    <row r="218" spans="1:14" x14ac:dyDescent="0.25">
      <c r="A218" s="51">
        <v>1.0069999999999999</v>
      </c>
      <c r="B218" s="52">
        <v>3771.3521000000001</v>
      </c>
      <c r="C218" s="52">
        <v>189.35730000000001</v>
      </c>
      <c r="D218" s="52">
        <v>0</v>
      </c>
      <c r="E218" s="52">
        <v>0</v>
      </c>
      <c r="F218" s="52">
        <v>568.07180000000005</v>
      </c>
      <c r="G218" s="52">
        <v>189.35730000000001</v>
      </c>
      <c r="H218" s="52">
        <v>189.35730000000001</v>
      </c>
      <c r="I218" s="52">
        <v>378.71449999999999</v>
      </c>
      <c r="J218" s="52">
        <v>376.08229999999998</v>
      </c>
      <c r="K218" s="52">
        <v>1128.2470000000001</v>
      </c>
      <c r="L218" s="52">
        <v>376.08229999999998</v>
      </c>
      <c r="M218" s="52">
        <v>376.08229999999998</v>
      </c>
      <c r="N218" s="5" t="s">
        <v>69</v>
      </c>
    </row>
    <row r="219" spans="1:14" x14ac:dyDescent="0.25">
      <c r="A219" s="51">
        <v>1.008</v>
      </c>
      <c r="B219" s="52">
        <v>3772.8564000000001</v>
      </c>
      <c r="C219" s="52">
        <v>189.5453</v>
      </c>
      <c r="D219" s="52">
        <v>0</v>
      </c>
      <c r="E219" s="52">
        <v>0</v>
      </c>
      <c r="F219" s="52">
        <v>568.63589999999999</v>
      </c>
      <c r="G219" s="52">
        <v>189.5453</v>
      </c>
      <c r="H219" s="52">
        <v>189.5453</v>
      </c>
      <c r="I219" s="52">
        <v>379.09059999999999</v>
      </c>
      <c r="J219" s="52">
        <v>376.08229999999998</v>
      </c>
      <c r="K219" s="52">
        <v>1128.2470000000001</v>
      </c>
      <c r="L219" s="52">
        <v>376.08229999999998</v>
      </c>
      <c r="M219" s="52">
        <v>376.08229999999998</v>
      </c>
      <c r="N219" s="5" t="s">
        <v>69</v>
      </c>
    </row>
    <row r="220" spans="1:14" x14ac:dyDescent="0.25">
      <c r="A220" s="51">
        <v>1.0089999999999999</v>
      </c>
      <c r="B220" s="52">
        <v>3774.3607999999999</v>
      </c>
      <c r="C220" s="52">
        <v>189.73330000000001</v>
      </c>
      <c r="D220" s="52">
        <v>0</v>
      </c>
      <c r="E220" s="52">
        <v>0</v>
      </c>
      <c r="F220" s="52">
        <v>569.20000000000005</v>
      </c>
      <c r="G220" s="52">
        <v>189.73330000000001</v>
      </c>
      <c r="H220" s="52">
        <v>189.73330000000001</v>
      </c>
      <c r="I220" s="52">
        <v>379.4667</v>
      </c>
      <c r="J220" s="52">
        <v>376.08229999999998</v>
      </c>
      <c r="K220" s="52">
        <v>1128.2470000000001</v>
      </c>
      <c r="L220" s="52">
        <v>376.08229999999998</v>
      </c>
      <c r="M220" s="52">
        <v>376.08229999999998</v>
      </c>
      <c r="N220" s="5" t="s">
        <v>69</v>
      </c>
    </row>
    <row r="221" spans="1:14" x14ac:dyDescent="0.25">
      <c r="A221" s="51">
        <v>1.01</v>
      </c>
      <c r="B221" s="52">
        <v>3775.8651</v>
      </c>
      <c r="C221" s="52">
        <v>189.92140000000001</v>
      </c>
      <c r="D221" s="52">
        <v>0</v>
      </c>
      <c r="E221" s="52">
        <v>0</v>
      </c>
      <c r="F221" s="52">
        <v>569.76419999999996</v>
      </c>
      <c r="G221" s="52">
        <v>189.92140000000001</v>
      </c>
      <c r="H221" s="52">
        <v>189.92140000000001</v>
      </c>
      <c r="I221" s="52">
        <v>379.84280000000001</v>
      </c>
      <c r="J221" s="52">
        <v>376.08229999999998</v>
      </c>
      <c r="K221" s="52">
        <v>1128.2470000000001</v>
      </c>
      <c r="L221" s="52">
        <v>376.08229999999998</v>
      </c>
      <c r="M221" s="52">
        <v>376.08229999999998</v>
      </c>
      <c r="N221" s="5" t="s">
        <v>69</v>
      </c>
    </row>
    <row r="222" spans="1:14" x14ac:dyDescent="0.25">
      <c r="A222" s="51">
        <v>1.0109999999999999</v>
      </c>
      <c r="B222" s="52">
        <v>3777.3694</v>
      </c>
      <c r="C222" s="52">
        <v>190.10939999999999</v>
      </c>
      <c r="D222" s="52">
        <v>0</v>
      </c>
      <c r="E222" s="52">
        <v>0</v>
      </c>
      <c r="F222" s="52">
        <v>570.32830000000001</v>
      </c>
      <c r="G222" s="52">
        <v>190.10939999999999</v>
      </c>
      <c r="H222" s="52">
        <v>190.10939999999999</v>
      </c>
      <c r="I222" s="52">
        <v>380.21890000000002</v>
      </c>
      <c r="J222" s="52">
        <v>376.08229999999998</v>
      </c>
      <c r="K222" s="52">
        <v>1128.2470000000001</v>
      </c>
      <c r="L222" s="52">
        <v>376.08229999999998</v>
      </c>
      <c r="M222" s="52">
        <v>376.08229999999998</v>
      </c>
      <c r="N222" s="5" t="s">
        <v>69</v>
      </c>
    </row>
    <row r="223" spans="1:14" x14ac:dyDescent="0.25">
      <c r="A223" s="51">
        <v>1.012</v>
      </c>
      <c r="B223" s="52">
        <v>3778.8737999999998</v>
      </c>
      <c r="C223" s="52">
        <v>190.29750000000001</v>
      </c>
      <c r="D223" s="52">
        <v>0</v>
      </c>
      <c r="E223" s="52">
        <v>0</v>
      </c>
      <c r="F223" s="52">
        <v>570.89239999999995</v>
      </c>
      <c r="G223" s="52">
        <v>190.29750000000001</v>
      </c>
      <c r="H223" s="52">
        <v>190.29750000000001</v>
      </c>
      <c r="I223" s="52">
        <v>380.5949</v>
      </c>
      <c r="J223" s="52">
        <v>376.08229999999998</v>
      </c>
      <c r="K223" s="52">
        <v>1128.2470000000001</v>
      </c>
      <c r="L223" s="52">
        <v>376.08229999999998</v>
      </c>
      <c r="M223" s="52">
        <v>376.08229999999998</v>
      </c>
      <c r="N223" s="5" t="s">
        <v>69</v>
      </c>
    </row>
    <row r="224" spans="1:14" x14ac:dyDescent="0.25">
      <c r="A224" s="51">
        <v>1.0129999999999999</v>
      </c>
      <c r="B224" s="52">
        <v>3780.3780999999999</v>
      </c>
      <c r="C224" s="52">
        <v>190.4855</v>
      </c>
      <c r="D224" s="52">
        <v>0</v>
      </c>
      <c r="E224" s="52">
        <v>0</v>
      </c>
      <c r="F224" s="52">
        <v>571.45650000000001</v>
      </c>
      <c r="G224" s="52">
        <v>190.4855</v>
      </c>
      <c r="H224" s="52">
        <v>190.4855</v>
      </c>
      <c r="I224" s="52">
        <v>380.971</v>
      </c>
      <c r="J224" s="52">
        <v>376.08229999999998</v>
      </c>
      <c r="K224" s="52">
        <v>1128.2470000000001</v>
      </c>
      <c r="L224" s="52">
        <v>376.08229999999998</v>
      </c>
      <c r="M224" s="52">
        <v>376.08229999999998</v>
      </c>
      <c r="N224" s="5" t="s">
        <v>69</v>
      </c>
    </row>
    <row r="225" spans="1:14" x14ac:dyDescent="0.25">
      <c r="A225" s="51">
        <v>1.014</v>
      </c>
      <c r="B225" s="52">
        <v>3781.8824</v>
      </c>
      <c r="C225" s="52">
        <v>190.67359999999999</v>
      </c>
      <c r="D225" s="52">
        <v>0</v>
      </c>
      <c r="E225" s="52">
        <v>0</v>
      </c>
      <c r="F225" s="52">
        <v>572.02070000000003</v>
      </c>
      <c r="G225" s="52">
        <v>190.67359999999999</v>
      </c>
      <c r="H225" s="52">
        <v>190.67359999999999</v>
      </c>
      <c r="I225" s="52">
        <v>381.34710000000001</v>
      </c>
      <c r="J225" s="52">
        <v>376.08229999999998</v>
      </c>
      <c r="K225" s="52">
        <v>1128.2470000000001</v>
      </c>
      <c r="L225" s="52">
        <v>376.08229999999998</v>
      </c>
      <c r="M225" s="52">
        <v>376.08229999999998</v>
      </c>
      <c r="N225" s="5" t="s">
        <v>69</v>
      </c>
    </row>
    <row r="226" spans="1:14" x14ac:dyDescent="0.25">
      <c r="A226" s="51">
        <v>1.0149999999999999</v>
      </c>
      <c r="B226" s="52">
        <v>3783.3867</v>
      </c>
      <c r="C226" s="52">
        <v>190.86160000000001</v>
      </c>
      <c r="D226" s="52">
        <v>0</v>
      </c>
      <c r="E226" s="52">
        <v>0</v>
      </c>
      <c r="F226" s="52">
        <v>572.58479999999997</v>
      </c>
      <c r="G226" s="52">
        <v>190.86160000000001</v>
      </c>
      <c r="H226" s="52">
        <v>190.86160000000001</v>
      </c>
      <c r="I226" s="52">
        <v>381.72320000000002</v>
      </c>
      <c r="J226" s="52">
        <v>376.08229999999998</v>
      </c>
      <c r="K226" s="52">
        <v>1128.2470000000001</v>
      </c>
      <c r="L226" s="52">
        <v>376.08229999999998</v>
      </c>
      <c r="M226" s="52">
        <v>376.08229999999998</v>
      </c>
      <c r="N226" s="5" t="s">
        <v>69</v>
      </c>
    </row>
    <row r="227" spans="1:14" x14ac:dyDescent="0.25">
      <c r="A227" s="51">
        <v>1.016</v>
      </c>
      <c r="B227" s="52">
        <v>3784.8910999999998</v>
      </c>
      <c r="C227" s="52">
        <v>191.0496</v>
      </c>
      <c r="D227" s="52">
        <v>0</v>
      </c>
      <c r="E227" s="52">
        <v>0</v>
      </c>
      <c r="F227" s="52">
        <v>573.14890000000003</v>
      </c>
      <c r="G227" s="52">
        <v>191.0496</v>
      </c>
      <c r="H227" s="52">
        <v>191.0496</v>
      </c>
      <c r="I227" s="52">
        <v>382.09930000000003</v>
      </c>
      <c r="J227" s="52">
        <v>376.08229999999998</v>
      </c>
      <c r="K227" s="52">
        <v>1128.2470000000001</v>
      </c>
      <c r="L227" s="52">
        <v>376.08229999999998</v>
      </c>
      <c r="M227" s="52">
        <v>376.08229999999998</v>
      </c>
      <c r="N227" s="5" t="s">
        <v>69</v>
      </c>
    </row>
    <row r="228" spans="1:14" x14ac:dyDescent="0.25">
      <c r="A228" s="51">
        <v>1.0169999999999999</v>
      </c>
      <c r="B228" s="52">
        <v>3786.3953999999999</v>
      </c>
      <c r="C228" s="52">
        <v>191.23769999999999</v>
      </c>
      <c r="D228" s="52">
        <v>0</v>
      </c>
      <c r="E228" s="52">
        <v>0</v>
      </c>
      <c r="F228" s="52">
        <v>573.71299999999997</v>
      </c>
      <c r="G228" s="52">
        <v>191.23769999999999</v>
      </c>
      <c r="H228" s="52">
        <v>191.23769999999999</v>
      </c>
      <c r="I228" s="52">
        <v>382.47539999999998</v>
      </c>
      <c r="J228" s="52">
        <v>376.08229999999998</v>
      </c>
      <c r="K228" s="52">
        <v>1128.2470000000001</v>
      </c>
      <c r="L228" s="52">
        <v>376.08229999999998</v>
      </c>
      <c r="M228" s="52">
        <v>376.08229999999998</v>
      </c>
      <c r="N228" s="5" t="s">
        <v>69</v>
      </c>
    </row>
    <row r="229" spans="1:14" x14ac:dyDescent="0.25">
      <c r="A229" s="51">
        <v>1.018</v>
      </c>
      <c r="B229" s="52">
        <v>3787.8996999999999</v>
      </c>
      <c r="C229" s="52">
        <v>191.42570000000001</v>
      </c>
      <c r="D229" s="52">
        <v>0</v>
      </c>
      <c r="E229" s="52">
        <v>0</v>
      </c>
      <c r="F229" s="52">
        <v>574.27710000000002</v>
      </c>
      <c r="G229" s="52">
        <v>191.42570000000001</v>
      </c>
      <c r="H229" s="52">
        <v>191.42570000000001</v>
      </c>
      <c r="I229" s="52">
        <v>382.85140000000001</v>
      </c>
      <c r="J229" s="52">
        <v>376.08229999999998</v>
      </c>
      <c r="K229" s="52">
        <v>1128.2470000000001</v>
      </c>
      <c r="L229" s="52">
        <v>376.08229999999998</v>
      </c>
      <c r="M229" s="52">
        <v>376.08229999999998</v>
      </c>
      <c r="N229" s="5" t="s">
        <v>69</v>
      </c>
    </row>
    <row r="230" spans="1:14" x14ac:dyDescent="0.25">
      <c r="A230" s="51">
        <v>1.0189999999999999</v>
      </c>
      <c r="B230" s="52">
        <v>3789.4041000000002</v>
      </c>
      <c r="C230" s="52">
        <v>191.6138</v>
      </c>
      <c r="D230" s="52">
        <v>0</v>
      </c>
      <c r="E230" s="52">
        <v>0</v>
      </c>
      <c r="F230" s="52">
        <v>574.84130000000005</v>
      </c>
      <c r="G230" s="52">
        <v>191.6138</v>
      </c>
      <c r="H230" s="52">
        <v>191.6138</v>
      </c>
      <c r="I230" s="52">
        <v>383.22750000000002</v>
      </c>
      <c r="J230" s="52">
        <v>376.08229999999998</v>
      </c>
      <c r="K230" s="52">
        <v>1128.2470000000001</v>
      </c>
      <c r="L230" s="52">
        <v>376.08229999999998</v>
      </c>
      <c r="M230" s="52">
        <v>376.08229999999998</v>
      </c>
      <c r="N230" s="5" t="s">
        <v>69</v>
      </c>
    </row>
    <row r="231" spans="1:14" x14ac:dyDescent="0.25">
      <c r="A231" s="51">
        <v>1.02</v>
      </c>
      <c r="B231" s="52">
        <v>3790.9083999999998</v>
      </c>
      <c r="C231" s="52">
        <v>191.80179999999999</v>
      </c>
      <c r="D231" s="52">
        <v>0</v>
      </c>
      <c r="E231" s="52">
        <v>0</v>
      </c>
      <c r="F231" s="52">
        <v>575.40539999999999</v>
      </c>
      <c r="G231" s="52">
        <v>191.80179999999999</v>
      </c>
      <c r="H231" s="52">
        <v>191.80179999999999</v>
      </c>
      <c r="I231" s="52">
        <v>383.60359999999997</v>
      </c>
      <c r="J231" s="52">
        <v>376.08229999999998</v>
      </c>
      <c r="K231" s="52">
        <v>1128.2470000000001</v>
      </c>
      <c r="L231" s="52">
        <v>376.08229999999998</v>
      </c>
      <c r="M231" s="52">
        <v>376.08229999999998</v>
      </c>
      <c r="N231" s="5" t="s">
        <v>69</v>
      </c>
    </row>
    <row r="232" spans="1:14" x14ac:dyDescent="0.25">
      <c r="A232" s="51">
        <v>1.0209999999999999</v>
      </c>
      <c r="B232" s="52">
        <v>3792.4126999999999</v>
      </c>
      <c r="C232" s="52">
        <v>191.9898</v>
      </c>
      <c r="D232" s="52">
        <v>0</v>
      </c>
      <c r="E232" s="52">
        <v>0</v>
      </c>
      <c r="F232" s="52">
        <v>575.96950000000004</v>
      </c>
      <c r="G232" s="52">
        <v>191.9898</v>
      </c>
      <c r="H232" s="52">
        <v>191.9898</v>
      </c>
      <c r="I232" s="52">
        <v>383.97969999999998</v>
      </c>
      <c r="J232" s="52">
        <v>376.08229999999998</v>
      </c>
      <c r="K232" s="52">
        <v>1128.2470000000001</v>
      </c>
      <c r="L232" s="52">
        <v>376.08229999999998</v>
      </c>
      <c r="M232" s="52">
        <v>376.08229999999998</v>
      </c>
      <c r="N232" s="5" t="s">
        <v>69</v>
      </c>
    </row>
    <row r="233" spans="1:14" x14ac:dyDescent="0.25">
      <c r="A233" s="51">
        <v>1.022</v>
      </c>
      <c r="B233" s="52">
        <v>3793.9169999999999</v>
      </c>
      <c r="C233" s="52">
        <v>192.17789999999999</v>
      </c>
      <c r="D233" s="52">
        <v>0</v>
      </c>
      <c r="E233" s="52">
        <v>0</v>
      </c>
      <c r="F233" s="52">
        <v>576.53359999999998</v>
      </c>
      <c r="G233" s="52">
        <v>192.17789999999999</v>
      </c>
      <c r="H233" s="52">
        <v>192.17789999999999</v>
      </c>
      <c r="I233" s="52">
        <v>384.35579999999999</v>
      </c>
      <c r="J233" s="52">
        <v>376.08229999999998</v>
      </c>
      <c r="K233" s="52">
        <v>1128.2470000000001</v>
      </c>
      <c r="L233" s="52">
        <v>376.08229999999998</v>
      </c>
      <c r="M233" s="52">
        <v>376.08229999999998</v>
      </c>
      <c r="N233" s="5" t="s">
        <v>69</v>
      </c>
    </row>
    <row r="234" spans="1:14" x14ac:dyDescent="0.25">
      <c r="A234" s="51">
        <v>1.0229999999999999</v>
      </c>
      <c r="B234" s="52">
        <v>3795.4214000000002</v>
      </c>
      <c r="C234" s="52">
        <v>192.36590000000001</v>
      </c>
      <c r="D234" s="52">
        <v>0</v>
      </c>
      <c r="E234" s="52">
        <v>0</v>
      </c>
      <c r="F234" s="52">
        <v>577.09780000000001</v>
      </c>
      <c r="G234" s="52">
        <v>192.36590000000001</v>
      </c>
      <c r="H234" s="52">
        <v>192.36590000000001</v>
      </c>
      <c r="I234" s="52">
        <v>384.73180000000002</v>
      </c>
      <c r="J234" s="52">
        <v>376.08229999999998</v>
      </c>
      <c r="K234" s="52">
        <v>1128.2470000000001</v>
      </c>
      <c r="L234" s="52">
        <v>376.08229999999998</v>
      </c>
      <c r="M234" s="52">
        <v>376.08229999999998</v>
      </c>
      <c r="N234" s="5" t="s">
        <v>69</v>
      </c>
    </row>
    <row r="235" spans="1:14" x14ac:dyDescent="0.25">
      <c r="A235" s="51">
        <v>1.024</v>
      </c>
      <c r="B235" s="52">
        <v>3796.9256999999998</v>
      </c>
      <c r="C235" s="52">
        <v>192.554</v>
      </c>
      <c r="D235" s="52">
        <v>0</v>
      </c>
      <c r="E235" s="52">
        <v>0</v>
      </c>
      <c r="F235" s="52">
        <v>577.66189999999995</v>
      </c>
      <c r="G235" s="52">
        <v>192.554</v>
      </c>
      <c r="H235" s="52">
        <v>192.554</v>
      </c>
      <c r="I235" s="52">
        <v>385.10789999999997</v>
      </c>
      <c r="J235" s="52">
        <v>376.08229999999998</v>
      </c>
      <c r="K235" s="52">
        <v>1128.2470000000001</v>
      </c>
      <c r="L235" s="52">
        <v>376.08229999999998</v>
      </c>
      <c r="M235" s="52">
        <v>376.08229999999998</v>
      </c>
      <c r="N235" s="5" t="s">
        <v>69</v>
      </c>
    </row>
    <row r="236" spans="1:14" x14ac:dyDescent="0.25">
      <c r="A236" s="51">
        <v>1.0249999999999999</v>
      </c>
      <c r="B236" s="52">
        <v>3798.43</v>
      </c>
      <c r="C236" s="52">
        <v>192.74199999999999</v>
      </c>
      <c r="D236" s="52">
        <v>0</v>
      </c>
      <c r="E236" s="52">
        <v>0</v>
      </c>
      <c r="F236" s="52">
        <v>578.226</v>
      </c>
      <c r="G236" s="52">
        <v>192.74199999999999</v>
      </c>
      <c r="H236" s="52">
        <v>192.74199999999999</v>
      </c>
      <c r="I236" s="52">
        <v>385.48399999999998</v>
      </c>
      <c r="J236" s="52">
        <v>376.08229999999998</v>
      </c>
      <c r="K236" s="52">
        <v>1128.2470000000001</v>
      </c>
      <c r="L236" s="52">
        <v>376.08229999999998</v>
      </c>
      <c r="M236" s="52">
        <v>376.08229999999998</v>
      </c>
      <c r="N236" s="5" t="s">
        <v>69</v>
      </c>
    </row>
    <row r="237" spans="1:14" x14ac:dyDescent="0.25">
      <c r="A237" s="51">
        <v>1.026</v>
      </c>
      <c r="B237" s="52">
        <v>3799.9342999999999</v>
      </c>
      <c r="C237" s="52">
        <v>192.93</v>
      </c>
      <c r="D237" s="52">
        <v>0</v>
      </c>
      <c r="E237" s="52">
        <v>0</v>
      </c>
      <c r="F237" s="52">
        <v>578.79010000000005</v>
      </c>
      <c r="G237" s="52">
        <v>192.93</v>
      </c>
      <c r="H237" s="52">
        <v>192.93</v>
      </c>
      <c r="I237" s="52">
        <v>385.86009999999999</v>
      </c>
      <c r="J237" s="52">
        <v>376.08229999999998</v>
      </c>
      <c r="K237" s="52">
        <v>1128.2470000000001</v>
      </c>
      <c r="L237" s="52">
        <v>376.08229999999998</v>
      </c>
      <c r="M237" s="52">
        <v>376.08229999999998</v>
      </c>
      <c r="N237" s="5" t="s">
        <v>69</v>
      </c>
    </row>
    <row r="238" spans="1:14" x14ac:dyDescent="0.25">
      <c r="A238" s="51">
        <v>1.0269999999999999</v>
      </c>
      <c r="B238" s="52">
        <v>3801.4387000000002</v>
      </c>
      <c r="C238" s="52">
        <v>193.1181</v>
      </c>
      <c r="D238" s="52">
        <v>0</v>
      </c>
      <c r="E238" s="52">
        <v>0</v>
      </c>
      <c r="F238" s="52">
        <v>579.35429999999997</v>
      </c>
      <c r="G238" s="52">
        <v>193.1181</v>
      </c>
      <c r="H238" s="52">
        <v>193.1181</v>
      </c>
      <c r="I238" s="52">
        <v>386.2362</v>
      </c>
      <c r="J238" s="52">
        <v>376.08229999999998</v>
      </c>
      <c r="K238" s="52">
        <v>1128.2470000000001</v>
      </c>
      <c r="L238" s="52">
        <v>376.08229999999998</v>
      </c>
      <c r="M238" s="52">
        <v>376.08229999999998</v>
      </c>
      <c r="N238" s="5" t="s">
        <v>69</v>
      </c>
    </row>
    <row r="239" spans="1:14" x14ac:dyDescent="0.25">
      <c r="A239" s="51">
        <v>1.028</v>
      </c>
      <c r="B239" s="52">
        <v>3802.9430000000002</v>
      </c>
      <c r="C239" s="52">
        <v>193.30609999999999</v>
      </c>
      <c r="D239" s="52">
        <v>0</v>
      </c>
      <c r="E239" s="52">
        <v>0</v>
      </c>
      <c r="F239" s="52">
        <v>579.91840000000002</v>
      </c>
      <c r="G239" s="52">
        <v>193.30609999999999</v>
      </c>
      <c r="H239" s="52">
        <v>193.30609999999999</v>
      </c>
      <c r="I239" s="52">
        <v>386.6123</v>
      </c>
      <c r="J239" s="52">
        <v>376.08229999999998</v>
      </c>
      <c r="K239" s="52">
        <v>1128.2470000000001</v>
      </c>
      <c r="L239" s="52">
        <v>376.08229999999998</v>
      </c>
      <c r="M239" s="52">
        <v>376.08229999999998</v>
      </c>
      <c r="N239" s="5" t="s">
        <v>69</v>
      </c>
    </row>
    <row r="240" spans="1:14" x14ac:dyDescent="0.25">
      <c r="A240" s="51">
        <v>1.0289999999999999</v>
      </c>
      <c r="B240" s="52">
        <v>3804.4472999999998</v>
      </c>
      <c r="C240" s="52">
        <v>193.49420000000001</v>
      </c>
      <c r="D240" s="52">
        <v>0</v>
      </c>
      <c r="E240" s="52">
        <v>0</v>
      </c>
      <c r="F240" s="52">
        <v>580.48249999999996</v>
      </c>
      <c r="G240" s="52">
        <v>193.49420000000001</v>
      </c>
      <c r="H240" s="52">
        <v>193.49420000000001</v>
      </c>
      <c r="I240" s="52">
        <v>386.98829999999998</v>
      </c>
      <c r="J240" s="52">
        <v>376.08229999999998</v>
      </c>
      <c r="K240" s="52">
        <v>1128.2470000000001</v>
      </c>
      <c r="L240" s="52">
        <v>376.08229999999998</v>
      </c>
      <c r="M240" s="52">
        <v>376.08229999999998</v>
      </c>
      <c r="N240" s="5" t="s">
        <v>69</v>
      </c>
    </row>
    <row r="241" spans="1:14" x14ac:dyDescent="0.25">
      <c r="A241" s="51">
        <v>1.03</v>
      </c>
      <c r="B241" s="52">
        <v>3805.9517000000001</v>
      </c>
      <c r="C241" s="52">
        <v>193.68219999999999</v>
      </c>
      <c r="D241" s="52">
        <v>0</v>
      </c>
      <c r="E241" s="52">
        <v>0</v>
      </c>
      <c r="F241" s="52">
        <v>581.04660000000001</v>
      </c>
      <c r="G241" s="52">
        <v>193.68219999999999</v>
      </c>
      <c r="H241" s="52">
        <v>193.68219999999999</v>
      </c>
      <c r="I241" s="52">
        <v>387.36439999999999</v>
      </c>
      <c r="J241" s="52">
        <v>376.08229999999998</v>
      </c>
      <c r="K241" s="52">
        <v>1128.2470000000001</v>
      </c>
      <c r="L241" s="52">
        <v>376.08229999999998</v>
      </c>
      <c r="M241" s="52">
        <v>376.08229999999998</v>
      </c>
      <c r="N241" s="5" t="s">
        <v>69</v>
      </c>
    </row>
    <row r="242" spans="1:14" x14ac:dyDescent="0.25">
      <c r="A242" s="51">
        <v>1.0309999999999999</v>
      </c>
      <c r="B242" s="52">
        <v>3807.4560000000001</v>
      </c>
      <c r="C242" s="52">
        <v>193.87020000000001</v>
      </c>
      <c r="D242" s="52">
        <v>0</v>
      </c>
      <c r="E242" s="52">
        <v>0</v>
      </c>
      <c r="F242" s="52">
        <v>581.61069999999995</v>
      </c>
      <c r="G242" s="52">
        <v>193.87020000000001</v>
      </c>
      <c r="H242" s="52">
        <v>193.87020000000001</v>
      </c>
      <c r="I242" s="52">
        <v>387.7405</v>
      </c>
      <c r="J242" s="52">
        <v>376.08229999999998</v>
      </c>
      <c r="K242" s="52">
        <v>1128.2470000000001</v>
      </c>
      <c r="L242" s="52">
        <v>376.08229999999998</v>
      </c>
      <c r="M242" s="52">
        <v>376.08229999999998</v>
      </c>
      <c r="N242" s="5" t="s">
        <v>69</v>
      </c>
    </row>
    <row r="243" spans="1:14" x14ac:dyDescent="0.25">
      <c r="A243" s="51">
        <v>1.032</v>
      </c>
      <c r="B243" s="52">
        <v>3808.9603000000002</v>
      </c>
      <c r="C243" s="52">
        <v>194.0583</v>
      </c>
      <c r="D243" s="52">
        <v>0</v>
      </c>
      <c r="E243" s="52">
        <v>0</v>
      </c>
      <c r="F243" s="52">
        <v>582.17489999999998</v>
      </c>
      <c r="G243" s="52">
        <v>194.0583</v>
      </c>
      <c r="H243" s="52">
        <v>194.0583</v>
      </c>
      <c r="I243" s="52">
        <v>388.11660000000001</v>
      </c>
      <c r="J243" s="52">
        <v>376.08229999999998</v>
      </c>
      <c r="K243" s="52">
        <v>1128.2470000000001</v>
      </c>
      <c r="L243" s="52">
        <v>376.08229999999998</v>
      </c>
      <c r="M243" s="52">
        <v>376.08229999999998</v>
      </c>
      <c r="N243" s="5" t="s">
        <v>69</v>
      </c>
    </row>
    <row r="244" spans="1:14" x14ac:dyDescent="0.25">
      <c r="A244" s="51">
        <v>1.0329999999999999</v>
      </c>
      <c r="B244" s="52">
        <v>3810.4645999999998</v>
      </c>
      <c r="C244" s="52">
        <v>194.24629999999999</v>
      </c>
      <c r="D244" s="52">
        <v>0</v>
      </c>
      <c r="E244" s="52">
        <v>0</v>
      </c>
      <c r="F244" s="52">
        <v>582.73900000000003</v>
      </c>
      <c r="G244" s="52">
        <v>194.24629999999999</v>
      </c>
      <c r="H244" s="52">
        <v>194.24629999999999</v>
      </c>
      <c r="I244" s="52">
        <v>388.49270000000001</v>
      </c>
      <c r="J244" s="52">
        <v>376.08229999999998</v>
      </c>
      <c r="K244" s="52">
        <v>1128.2470000000001</v>
      </c>
      <c r="L244" s="52">
        <v>376.08229999999998</v>
      </c>
      <c r="M244" s="52">
        <v>376.08229999999998</v>
      </c>
      <c r="N244" s="5" t="s">
        <v>69</v>
      </c>
    </row>
    <row r="245" spans="1:14" x14ac:dyDescent="0.25">
      <c r="A245" s="51">
        <v>1.034</v>
      </c>
      <c r="B245" s="52">
        <v>3811.9690000000001</v>
      </c>
      <c r="C245" s="52">
        <v>194.43440000000001</v>
      </c>
      <c r="D245" s="52">
        <v>0</v>
      </c>
      <c r="E245" s="52">
        <v>0</v>
      </c>
      <c r="F245" s="52">
        <v>583.30309999999997</v>
      </c>
      <c r="G245" s="52">
        <v>194.43440000000001</v>
      </c>
      <c r="H245" s="52">
        <v>194.43440000000001</v>
      </c>
      <c r="I245" s="52">
        <v>388.86869999999999</v>
      </c>
      <c r="J245" s="52">
        <v>376.08229999999998</v>
      </c>
      <c r="K245" s="52">
        <v>1128.2470000000001</v>
      </c>
      <c r="L245" s="52">
        <v>376.08229999999998</v>
      </c>
      <c r="M245" s="52">
        <v>376.08229999999998</v>
      </c>
      <c r="N245" s="5" t="s">
        <v>69</v>
      </c>
    </row>
    <row r="246" spans="1:14" x14ac:dyDescent="0.25">
      <c r="A246" s="51">
        <v>1.0349999999999999</v>
      </c>
      <c r="B246" s="52">
        <v>3813.4733000000001</v>
      </c>
      <c r="C246" s="52">
        <v>194.6224</v>
      </c>
      <c r="D246" s="52">
        <v>0</v>
      </c>
      <c r="E246" s="52">
        <v>0</v>
      </c>
      <c r="F246" s="52">
        <v>583.86720000000003</v>
      </c>
      <c r="G246" s="52">
        <v>194.6224</v>
      </c>
      <c r="H246" s="52">
        <v>194.6224</v>
      </c>
      <c r="I246" s="52">
        <v>389.2448</v>
      </c>
      <c r="J246" s="52">
        <v>376.08229999999998</v>
      </c>
      <c r="K246" s="52">
        <v>1128.2470000000001</v>
      </c>
      <c r="L246" s="52">
        <v>376.08229999999998</v>
      </c>
      <c r="M246" s="52">
        <v>376.08229999999998</v>
      </c>
      <c r="N246" s="5" t="s">
        <v>69</v>
      </c>
    </row>
    <row r="247" spans="1:14" x14ac:dyDescent="0.25">
      <c r="A247" s="51">
        <v>1.036</v>
      </c>
      <c r="B247" s="52">
        <v>3814.9776000000002</v>
      </c>
      <c r="C247" s="52">
        <v>194.81049999999999</v>
      </c>
      <c r="D247" s="52">
        <v>0</v>
      </c>
      <c r="E247" s="52">
        <v>0</v>
      </c>
      <c r="F247" s="52">
        <v>584.43140000000005</v>
      </c>
      <c r="G247" s="52">
        <v>194.81049999999999</v>
      </c>
      <c r="H247" s="52">
        <v>194.81049999999999</v>
      </c>
      <c r="I247" s="52">
        <v>389.62090000000001</v>
      </c>
      <c r="J247" s="52">
        <v>376.08229999999998</v>
      </c>
      <c r="K247" s="52">
        <v>1128.2470000000001</v>
      </c>
      <c r="L247" s="52">
        <v>376.08229999999998</v>
      </c>
      <c r="M247" s="52">
        <v>376.08229999999998</v>
      </c>
      <c r="N247" s="5" t="s">
        <v>69</v>
      </c>
    </row>
    <row r="248" spans="1:14" x14ac:dyDescent="0.25">
      <c r="A248" s="51">
        <v>1.0369999999999999</v>
      </c>
      <c r="B248" s="52">
        <v>3816.482</v>
      </c>
      <c r="C248" s="52">
        <v>194.99850000000001</v>
      </c>
      <c r="D248" s="52">
        <v>0</v>
      </c>
      <c r="E248" s="52">
        <v>0</v>
      </c>
      <c r="F248" s="52">
        <v>584.99549999999999</v>
      </c>
      <c r="G248" s="52">
        <v>194.99850000000001</v>
      </c>
      <c r="H248" s="52">
        <v>194.99850000000001</v>
      </c>
      <c r="I248" s="52">
        <v>389.99700000000001</v>
      </c>
      <c r="J248" s="52">
        <v>376.08229999999998</v>
      </c>
      <c r="K248" s="52">
        <v>1128.2470000000001</v>
      </c>
      <c r="L248" s="52">
        <v>376.08229999999998</v>
      </c>
      <c r="M248" s="52">
        <v>376.08229999999998</v>
      </c>
      <c r="N248" s="5" t="s">
        <v>69</v>
      </c>
    </row>
    <row r="249" spans="1:14" x14ac:dyDescent="0.25">
      <c r="A249" s="51">
        <v>1.038</v>
      </c>
      <c r="B249" s="52">
        <v>3817.9863</v>
      </c>
      <c r="C249" s="52">
        <v>195.1865</v>
      </c>
      <c r="D249" s="52">
        <v>0</v>
      </c>
      <c r="E249" s="52">
        <v>0</v>
      </c>
      <c r="F249" s="52">
        <v>585.55960000000005</v>
      </c>
      <c r="G249" s="52">
        <v>195.1865</v>
      </c>
      <c r="H249" s="52">
        <v>195.1865</v>
      </c>
      <c r="I249" s="52">
        <v>390.37310000000002</v>
      </c>
      <c r="J249" s="52">
        <v>376.08229999999998</v>
      </c>
      <c r="K249" s="52">
        <v>1128.2470000000001</v>
      </c>
      <c r="L249" s="52">
        <v>376.08229999999998</v>
      </c>
      <c r="M249" s="52">
        <v>376.08229999999998</v>
      </c>
      <c r="N249" s="5" t="s">
        <v>69</v>
      </c>
    </row>
    <row r="250" spans="1:14" x14ac:dyDescent="0.25">
      <c r="A250" s="51">
        <v>1.0389999999999999</v>
      </c>
      <c r="B250" s="52">
        <v>3819.4906000000001</v>
      </c>
      <c r="C250" s="52">
        <v>195.37459999999999</v>
      </c>
      <c r="D250" s="52">
        <v>0</v>
      </c>
      <c r="E250" s="52">
        <v>0</v>
      </c>
      <c r="F250" s="52">
        <v>586.12369999999999</v>
      </c>
      <c r="G250" s="52">
        <v>195.37459999999999</v>
      </c>
      <c r="H250" s="52">
        <v>195.37459999999999</v>
      </c>
      <c r="I250" s="52">
        <v>390.74919999999997</v>
      </c>
      <c r="J250" s="52">
        <v>376.08229999999998</v>
      </c>
      <c r="K250" s="52">
        <v>1128.2470000000001</v>
      </c>
      <c r="L250" s="52">
        <v>376.08229999999998</v>
      </c>
      <c r="M250" s="52">
        <v>376.08229999999998</v>
      </c>
      <c r="N250" s="5" t="s">
        <v>69</v>
      </c>
    </row>
    <row r="251" spans="1:14" x14ac:dyDescent="0.25">
      <c r="A251" s="51">
        <v>1.04</v>
      </c>
      <c r="B251" s="52">
        <v>3820.9949000000001</v>
      </c>
      <c r="C251" s="52">
        <v>195.5626</v>
      </c>
      <c r="D251" s="52">
        <v>0</v>
      </c>
      <c r="E251" s="52">
        <v>0</v>
      </c>
      <c r="F251" s="52">
        <v>586.68790000000001</v>
      </c>
      <c r="G251" s="52">
        <v>195.5626</v>
      </c>
      <c r="H251" s="52">
        <v>195.5626</v>
      </c>
      <c r="I251" s="52">
        <v>391.12520000000001</v>
      </c>
      <c r="J251" s="52">
        <v>376.08229999999998</v>
      </c>
      <c r="K251" s="52">
        <v>1128.2470000000001</v>
      </c>
      <c r="L251" s="52">
        <v>376.08229999999998</v>
      </c>
      <c r="M251" s="52">
        <v>376.08229999999998</v>
      </c>
      <c r="N251" s="5" t="s">
        <v>69</v>
      </c>
    </row>
    <row r="252" spans="1:14" x14ac:dyDescent="0.25">
      <c r="A252" s="51">
        <v>1.0409999999999999</v>
      </c>
      <c r="B252" s="52">
        <v>3822.4992999999999</v>
      </c>
      <c r="C252" s="52">
        <v>195.75069999999999</v>
      </c>
      <c r="D252" s="52">
        <v>0</v>
      </c>
      <c r="E252" s="52">
        <v>0</v>
      </c>
      <c r="F252" s="52">
        <v>587.25199999999995</v>
      </c>
      <c r="G252" s="52">
        <v>195.75069999999999</v>
      </c>
      <c r="H252" s="52">
        <v>195.75069999999999</v>
      </c>
      <c r="I252" s="52">
        <v>391.50130000000001</v>
      </c>
      <c r="J252" s="52">
        <v>376.08229999999998</v>
      </c>
      <c r="K252" s="52">
        <v>1128.2470000000001</v>
      </c>
      <c r="L252" s="52">
        <v>376.08229999999998</v>
      </c>
      <c r="M252" s="52">
        <v>376.08229999999998</v>
      </c>
      <c r="N252" s="5" t="s">
        <v>69</v>
      </c>
    </row>
    <row r="253" spans="1:14" x14ac:dyDescent="0.25">
      <c r="A253" s="51">
        <v>1.042</v>
      </c>
      <c r="B253" s="52">
        <v>3824.0036</v>
      </c>
      <c r="C253" s="52">
        <v>195.93870000000001</v>
      </c>
      <c r="D253" s="52">
        <v>0</v>
      </c>
      <c r="E253" s="52">
        <v>0</v>
      </c>
      <c r="F253" s="52">
        <v>587.81610000000001</v>
      </c>
      <c r="G253" s="52">
        <v>195.93870000000001</v>
      </c>
      <c r="H253" s="52">
        <v>195.93870000000001</v>
      </c>
      <c r="I253" s="52">
        <v>391.87740000000002</v>
      </c>
      <c r="J253" s="52">
        <v>376.08229999999998</v>
      </c>
      <c r="K253" s="52">
        <v>1128.2470000000001</v>
      </c>
      <c r="L253" s="52">
        <v>376.08229999999998</v>
      </c>
      <c r="M253" s="52">
        <v>376.08229999999998</v>
      </c>
      <c r="N253" s="5" t="s">
        <v>69</v>
      </c>
    </row>
    <row r="254" spans="1:14" x14ac:dyDescent="0.25">
      <c r="A254" s="51">
        <v>1.0429999999999999</v>
      </c>
      <c r="B254" s="52">
        <v>3825.5079000000001</v>
      </c>
      <c r="C254" s="52">
        <v>196.1267</v>
      </c>
      <c r="D254" s="52">
        <v>0</v>
      </c>
      <c r="E254" s="52">
        <v>0</v>
      </c>
      <c r="F254" s="52">
        <v>588.38019999999995</v>
      </c>
      <c r="G254" s="52">
        <v>196.1267</v>
      </c>
      <c r="H254" s="52">
        <v>196.1267</v>
      </c>
      <c r="I254" s="52">
        <v>392.25349999999997</v>
      </c>
      <c r="J254" s="52">
        <v>376.08229999999998</v>
      </c>
      <c r="K254" s="52">
        <v>1128.2470000000001</v>
      </c>
      <c r="L254" s="52">
        <v>376.08229999999998</v>
      </c>
      <c r="M254" s="52">
        <v>376.08229999999998</v>
      </c>
      <c r="N254" s="5" t="s">
        <v>69</v>
      </c>
    </row>
    <row r="255" spans="1:14" x14ac:dyDescent="0.25">
      <c r="A255" s="51">
        <v>1.044</v>
      </c>
      <c r="B255" s="52">
        <v>3827.0122000000001</v>
      </c>
      <c r="C255" s="52">
        <v>196.31479999999999</v>
      </c>
      <c r="D255" s="52">
        <v>0</v>
      </c>
      <c r="E255" s="52">
        <v>0</v>
      </c>
      <c r="F255" s="52">
        <v>588.9443</v>
      </c>
      <c r="G255" s="52">
        <v>196.31479999999999</v>
      </c>
      <c r="H255" s="52">
        <v>196.31479999999999</v>
      </c>
      <c r="I255" s="52">
        <v>392.62959999999998</v>
      </c>
      <c r="J255" s="52">
        <v>376.08229999999998</v>
      </c>
      <c r="K255" s="52">
        <v>1128.2470000000001</v>
      </c>
      <c r="L255" s="52">
        <v>376.08229999999998</v>
      </c>
      <c r="M255" s="52">
        <v>376.08229999999998</v>
      </c>
      <c r="N255" s="5" t="s">
        <v>69</v>
      </c>
    </row>
    <row r="256" spans="1:14" x14ac:dyDescent="0.25">
      <c r="A256" s="51">
        <v>1.0449999999999999</v>
      </c>
      <c r="B256" s="52">
        <v>3828.5165999999999</v>
      </c>
      <c r="C256" s="52">
        <v>196.50280000000001</v>
      </c>
      <c r="D256" s="52">
        <v>0</v>
      </c>
      <c r="E256" s="52">
        <v>0</v>
      </c>
      <c r="F256" s="52">
        <v>589.50850000000003</v>
      </c>
      <c r="G256" s="52">
        <v>196.50280000000001</v>
      </c>
      <c r="H256" s="52">
        <v>196.50280000000001</v>
      </c>
      <c r="I256" s="52">
        <v>393.00560000000002</v>
      </c>
      <c r="J256" s="52">
        <v>376.08229999999998</v>
      </c>
      <c r="K256" s="52">
        <v>1128.2470000000001</v>
      </c>
      <c r="L256" s="52">
        <v>376.08229999999998</v>
      </c>
      <c r="M256" s="52">
        <v>376.08229999999998</v>
      </c>
      <c r="N256" s="5" t="s">
        <v>69</v>
      </c>
    </row>
    <row r="257" spans="1:14" x14ac:dyDescent="0.25">
      <c r="A257" s="51">
        <v>1.046</v>
      </c>
      <c r="B257" s="52">
        <v>3830.0209</v>
      </c>
      <c r="C257" s="52">
        <v>196.6909</v>
      </c>
      <c r="D257" s="52">
        <v>0</v>
      </c>
      <c r="E257" s="52">
        <v>0</v>
      </c>
      <c r="F257" s="52">
        <v>590.07259999999997</v>
      </c>
      <c r="G257" s="52">
        <v>196.6909</v>
      </c>
      <c r="H257" s="52">
        <v>196.6909</v>
      </c>
      <c r="I257" s="52">
        <v>393.38170000000002</v>
      </c>
      <c r="J257" s="52">
        <v>376.08229999999998</v>
      </c>
      <c r="K257" s="52">
        <v>1128.2470000000001</v>
      </c>
      <c r="L257" s="52">
        <v>376.08229999999998</v>
      </c>
      <c r="M257" s="52">
        <v>376.08229999999998</v>
      </c>
      <c r="N257" s="5" t="s">
        <v>69</v>
      </c>
    </row>
    <row r="258" spans="1:14" x14ac:dyDescent="0.25">
      <c r="A258" s="51">
        <v>1.0469999999999999</v>
      </c>
      <c r="B258" s="52">
        <v>3831.5252</v>
      </c>
      <c r="C258" s="52">
        <v>196.87889999999999</v>
      </c>
      <c r="D258" s="52">
        <v>0</v>
      </c>
      <c r="E258" s="52">
        <v>0</v>
      </c>
      <c r="F258" s="52">
        <v>590.63670000000002</v>
      </c>
      <c r="G258" s="52">
        <v>196.87889999999999</v>
      </c>
      <c r="H258" s="52">
        <v>196.87889999999999</v>
      </c>
      <c r="I258" s="52">
        <v>393.75779999999997</v>
      </c>
      <c r="J258" s="52">
        <v>376.08229999999998</v>
      </c>
      <c r="K258" s="52">
        <v>1128.2470000000001</v>
      </c>
      <c r="L258" s="52">
        <v>376.08229999999998</v>
      </c>
      <c r="M258" s="52">
        <v>376.08229999999998</v>
      </c>
      <c r="N258" s="5" t="s">
        <v>69</v>
      </c>
    </row>
    <row r="259" spans="1:14" x14ac:dyDescent="0.25">
      <c r="A259" s="51">
        <v>1.048</v>
      </c>
      <c r="B259" s="52">
        <v>3833.0295999999998</v>
      </c>
      <c r="C259" s="52">
        <v>197.0669</v>
      </c>
      <c r="D259" s="52">
        <v>0</v>
      </c>
      <c r="E259" s="52">
        <v>0</v>
      </c>
      <c r="F259" s="52">
        <v>591.20079999999996</v>
      </c>
      <c r="G259" s="52">
        <v>197.0669</v>
      </c>
      <c r="H259" s="52">
        <v>197.0669</v>
      </c>
      <c r="I259" s="52">
        <v>394.13389999999998</v>
      </c>
      <c r="J259" s="52">
        <v>376.08229999999998</v>
      </c>
      <c r="K259" s="52">
        <v>1128.2470000000001</v>
      </c>
      <c r="L259" s="52">
        <v>376.08229999999998</v>
      </c>
      <c r="M259" s="52">
        <v>376.08229999999998</v>
      </c>
      <c r="N259" s="5" t="s">
        <v>69</v>
      </c>
    </row>
    <row r="260" spans="1:14" x14ac:dyDescent="0.25">
      <c r="A260" s="51">
        <v>1.0489999999999999</v>
      </c>
      <c r="B260" s="52">
        <v>3834.5338999999999</v>
      </c>
      <c r="C260" s="52">
        <v>197.255</v>
      </c>
      <c r="D260" s="52">
        <v>0</v>
      </c>
      <c r="E260" s="52">
        <v>0</v>
      </c>
      <c r="F260" s="52">
        <v>591.76499999999999</v>
      </c>
      <c r="G260" s="52">
        <v>197.255</v>
      </c>
      <c r="H260" s="52">
        <v>197.255</v>
      </c>
      <c r="I260" s="52">
        <v>394.51</v>
      </c>
      <c r="J260" s="52">
        <v>376.08229999999998</v>
      </c>
      <c r="K260" s="52">
        <v>1128.2470000000001</v>
      </c>
      <c r="L260" s="52">
        <v>376.08229999999998</v>
      </c>
      <c r="M260" s="52">
        <v>376.08229999999998</v>
      </c>
      <c r="N260" s="5" t="s">
        <v>69</v>
      </c>
    </row>
    <row r="261" spans="1:14" x14ac:dyDescent="0.25">
      <c r="A261" s="51">
        <v>1.05</v>
      </c>
      <c r="B261" s="52">
        <v>3836.0382</v>
      </c>
      <c r="C261" s="52">
        <v>197.44300000000001</v>
      </c>
      <c r="D261" s="52">
        <v>0</v>
      </c>
      <c r="E261" s="52">
        <v>0</v>
      </c>
      <c r="F261" s="52">
        <v>592.32910000000004</v>
      </c>
      <c r="G261" s="52">
        <v>197.44300000000001</v>
      </c>
      <c r="H261" s="52">
        <v>197.44300000000001</v>
      </c>
      <c r="I261" s="52">
        <v>394.8861</v>
      </c>
      <c r="J261" s="52">
        <v>376.08229999999998</v>
      </c>
      <c r="K261" s="52">
        <v>1128.2470000000001</v>
      </c>
      <c r="L261" s="52">
        <v>376.08229999999998</v>
      </c>
      <c r="M261" s="52">
        <v>376.08229999999998</v>
      </c>
      <c r="N261" s="5" t="s">
        <v>69</v>
      </c>
    </row>
    <row r="262" spans="1:14" x14ac:dyDescent="0.25">
      <c r="A262" s="51">
        <v>1.0509999999999999</v>
      </c>
      <c r="B262" s="52">
        <v>3837.5425</v>
      </c>
      <c r="C262" s="52">
        <v>197.6311</v>
      </c>
      <c r="D262" s="52">
        <v>0</v>
      </c>
      <c r="E262" s="52">
        <v>0</v>
      </c>
      <c r="F262" s="52">
        <v>592.89319999999998</v>
      </c>
      <c r="G262" s="52">
        <v>197.6311</v>
      </c>
      <c r="H262" s="52">
        <v>197.6311</v>
      </c>
      <c r="I262" s="52">
        <v>395.26209999999998</v>
      </c>
      <c r="J262" s="52">
        <v>376.08229999999998</v>
      </c>
      <c r="K262" s="52">
        <v>1128.2470000000001</v>
      </c>
      <c r="L262" s="52">
        <v>376.08229999999998</v>
      </c>
      <c r="M262" s="52">
        <v>376.08229999999998</v>
      </c>
      <c r="N262" s="5" t="s">
        <v>69</v>
      </c>
    </row>
    <row r="263" spans="1:14" x14ac:dyDescent="0.25">
      <c r="A263" s="51">
        <v>1.052</v>
      </c>
      <c r="B263" s="52">
        <v>3839.0468999999998</v>
      </c>
      <c r="C263" s="52">
        <v>197.81909999999999</v>
      </c>
      <c r="D263" s="52">
        <v>0</v>
      </c>
      <c r="E263" s="52">
        <v>0</v>
      </c>
      <c r="F263" s="52">
        <v>593.45730000000003</v>
      </c>
      <c r="G263" s="52">
        <v>197.81909999999999</v>
      </c>
      <c r="H263" s="52">
        <v>197.81909999999999</v>
      </c>
      <c r="I263" s="52">
        <v>395.63819999999998</v>
      </c>
      <c r="J263" s="52">
        <v>376.08229999999998</v>
      </c>
      <c r="K263" s="52">
        <v>1128.2470000000001</v>
      </c>
      <c r="L263" s="52">
        <v>376.08229999999998</v>
      </c>
      <c r="M263" s="52">
        <v>376.08229999999998</v>
      </c>
      <c r="N263" s="5" t="s">
        <v>69</v>
      </c>
    </row>
    <row r="264" spans="1:14" x14ac:dyDescent="0.25">
      <c r="A264" s="51">
        <v>1.0529999999999999</v>
      </c>
      <c r="B264" s="52">
        <v>3840.5511999999999</v>
      </c>
      <c r="C264" s="52">
        <v>198.00720000000001</v>
      </c>
      <c r="D264" s="52">
        <v>0</v>
      </c>
      <c r="E264" s="52">
        <v>0</v>
      </c>
      <c r="F264" s="52">
        <v>594.02149999999995</v>
      </c>
      <c r="G264" s="52">
        <v>198.00720000000001</v>
      </c>
      <c r="H264" s="52">
        <v>198.00720000000001</v>
      </c>
      <c r="I264" s="52">
        <v>396.01429999999999</v>
      </c>
      <c r="J264" s="52">
        <v>376.08229999999998</v>
      </c>
      <c r="K264" s="52">
        <v>1128.2470000000001</v>
      </c>
      <c r="L264" s="52">
        <v>376.08229999999998</v>
      </c>
      <c r="M264" s="52">
        <v>376.08229999999998</v>
      </c>
      <c r="N264" s="5" t="s">
        <v>69</v>
      </c>
    </row>
    <row r="265" spans="1:14" x14ac:dyDescent="0.25">
      <c r="A265" s="51">
        <v>1.054</v>
      </c>
      <c r="B265" s="52">
        <v>3842.0554999999999</v>
      </c>
      <c r="C265" s="52">
        <v>198.1952</v>
      </c>
      <c r="D265" s="52">
        <v>0</v>
      </c>
      <c r="E265" s="52">
        <v>0</v>
      </c>
      <c r="F265" s="52">
        <v>594.5856</v>
      </c>
      <c r="G265" s="52">
        <v>198.1952</v>
      </c>
      <c r="H265" s="52">
        <v>198.1952</v>
      </c>
      <c r="I265" s="52">
        <v>396.3904</v>
      </c>
      <c r="J265" s="52">
        <v>376.08229999999998</v>
      </c>
      <c r="K265" s="52">
        <v>1128.2470000000001</v>
      </c>
      <c r="L265" s="52">
        <v>376.08229999999998</v>
      </c>
      <c r="M265" s="52">
        <v>376.08229999999998</v>
      </c>
      <c r="N265" s="5" t="s">
        <v>69</v>
      </c>
    </row>
    <row r="266" spans="1:14" x14ac:dyDescent="0.25">
      <c r="A266" s="51">
        <v>1.0549999999999999</v>
      </c>
      <c r="B266" s="52">
        <v>3843.5599000000002</v>
      </c>
      <c r="C266" s="52">
        <v>198.38319999999999</v>
      </c>
      <c r="D266" s="52">
        <v>0</v>
      </c>
      <c r="E266" s="52">
        <v>0</v>
      </c>
      <c r="F266" s="52">
        <v>595.14970000000005</v>
      </c>
      <c r="G266" s="52">
        <v>198.38319999999999</v>
      </c>
      <c r="H266" s="52">
        <v>198.38319999999999</v>
      </c>
      <c r="I266" s="52">
        <v>396.76650000000001</v>
      </c>
      <c r="J266" s="52">
        <v>376.08229999999998</v>
      </c>
      <c r="K266" s="52">
        <v>1128.2470000000001</v>
      </c>
      <c r="L266" s="52">
        <v>376.08229999999998</v>
      </c>
      <c r="M266" s="52">
        <v>376.08229999999998</v>
      </c>
      <c r="N266" s="5" t="s">
        <v>69</v>
      </c>
    </row>
    <row r="267" spans="1:14" x14ac:dyDescent="0.25">
      <c r="A267" s="51">
        <v>1.056</v>
      </c>
      <c r="B267" s="52">
        <v>3845.0641999999998</v>
      </c>
      <c r="C267" s="52">
        <v>198.57130000000001</v>
      </c>
      <c r="D267" s="52">
        <v>0</v>
      </c>
      <c r="E267" s="52">
        <v>0</v>
      </c>
      <c r="F267" s="52">
        <v>595.71379999999999</v>
      </c>
      <c r="G267" s="52">
        <v>198.57130000000001</v>
      </c>
      <c r="H267" s="52">
        <v>198.57130000000001</v>
      </c>
      <c r="I267" s="52">
        <v>397.14249999999998</v>
      </c>
      <c r="J267" s="52">
        <v>376.08229999999998</v>
      </c>
      <c r="K267" s="52">
        <v>1128.2470000000001</v>
      </c>
      <c r="L267" s="52">
        <v>376.08229999999998</v>
      </c>
      <c r="M267" s="52">
        <v>376.08229999999998</v>
      </c>
      <c r="N267" s="5" t="s">
        <v>69</v>
      </c>
    </row>
    <row r="268" spans="1:14" x14ac:dyDescent="0.25">
      <c r="A268" s="51">
        <v>1.0569999999999999</v>
      </c>
      <c r="B268" s="52">
        <v>3846.5684999999999</v>
      </c>
      <c r="C268" s="52">
        <v>198.7593</v>
      </c>
      <c r="D268" s="52">
        <v>0</v>
      </c>
      <c r="E268" s="52">
        <v>0</v>
      </c>
      <c r="F268" s="52">
        <v>596.27790000000005</v>
      </c>
      <c r="G268" s="52">
        <v>198.7593</v>
      </c>
      <c r="H268" s="52">
        <v>198.7593</v>
      </c>
      <c r="I268" s="52">
        <v>397.51859999999999</v>
      </c>
      <c r="J268" s="52">
        <v>376.08229999999998</v>
      </c>
      <c r="K268" s="52">
        <v>1128.2470000000001</v>
      </c>
      <c r="L268" s="52">
        <v>376.08229999999998</v>
      </c>
      <c r="M268" s="52">
        <v>376.08229999999998</v>
      </c>
      <c r="N268" s="5" t="s">
        <v>69</v>
      </c>
    </row>
    <row r="269" spans="1:14" x14ac:dyDescent="0.25">
      <c r="A269" s="51">
        <v>1.0580000000000001</v>
      </c>
      <c r="B269" s="52">
        <v>3848.0727999999999</v>
      </c>
      <c r="C269" s="52">
        <v>198.94739999999999</v>
      </c>
      <c r="D269" s="52">
        <v>0</v>
      </c>
      <c r="E269" s="52">
        <v>0</v>
      </c>
      <c r="F269" s="52">
        <v>596.84209999999996</v>
      </c>
      <c r="G269" s="52">
        <v>198.94739999999999</v>
      </c>
      <c r="H269" s="52">
        <v>198.94739999999999</v>
      </c>
      <c r="I269" s="52">
        <v>397.8947</v>
      </c>
      <c r="J269" s="52">
        <v>376.08229999999998</v>
      </c>
      <c r="K269" s="52">
        <v>1128.2470000000001</v>
      </c>
      <c r="L269" s="52">
        <v>376.08229999999998</v>
      </c>
      <c r="M269" s="52">
        <v>376.08229999999998</v>
      </c>
      <c r="N269" s="5" t="s">
        <v>69</v>
      </c>
    </row>
    <row r="270" spans="1:14" x14ac:dyDescent="0.25">
      <c r="A270" s="51">
        <v>1.0589999999999999</v>
      </c>
      <c r="B270" s="52">
        <v>3849.5772000000002</v>
      </c>
      <c r="C270" s="52">
        <v>199.1354</v>
      </c>
      <c r="D270" s="52">
        <v>0</v>
      </c>
      <c r="E270" s="52">
        <v>0</v>
      </c>
      <c r="F270" s="52">
        <v>597.40620000000001</v>
      </c>
      <c r="G270" s="52">
        <v>199.1354</v>
      </c>
      <c r="H270" s="52">
        <v>199.1354</v>
      </c>
      <c r="I270" s="52">
        <v>398.27080000000001</v>
      </c>
      <c r="J270" s="52">
        <v>376.08229999999998</v>
      </c>
      <c r="K270" s="52">
        <v>1128.2470000000001</v>
      </c>
      <c r="L270" s="52">
        <v>376.08229999999998</v>
      </c>
      <c r="M270" s="52">
        <v>376.08229999999998</v>
      </c>
      <c r="N270" s="5" t="s">
        <v>69</v>
      </c>
    </row>
    <row r="271" spans="1:14" x14ac:dyDescent="0.25">
      <c r="A271" s="51">
        <v>1.06</v>
      </c>
      <c r="B271" s="52">
        <v>3851.0814999999998</v>
      </c>
      <c r="C271" s="52">
        <v>199.32339999999999</v>
      </c>
      <c r="D271" s="52">
        <v>0</v>
      </c>
      <c r="E271" s="52">
        <v>0</v>
      </c>
      <c r="F271" s="52">
        <v>597.97029999999995</v>
      </c>
      <c r="G271" s="52">
        <v>199.32339999999999</v>
      </c>
      <c r="H271" s="52">
        <v>199.32339999999999</v>
      </c>
      <c r="I271" s="52">
        <v>398.64690000000002</v>
      </c>
      <c r="J271" s="52">
        <v>376.08229999999998</v>
      </c>
      <c r="K271" s="52">
        <v>1128.2470000000001</v>
      </c>
      <c r="L271" s="52">
        <v>376.08229999999998</v>
      </c>
      <c r="M271" s="52">
        <v>376.08229999999998</v>
      </c>
      <c r="N271" s="5" t="s">
        <v>69</v>
      </c>
    </row>
    <row r="272" spans="1:14" x14ac:dyDescent="0.25">
      <c r="A272" s="51">
        <v>1.0609999999999999</v>
      </c>
      <c r="B272" s="52">
        <v>4354.9710999999998</v>
      </c>
      <c r="C272" s="52">
        <v>262.30959999999999</v>
      </c>
      <c r="D272" s="52">
        <v>0</v>
      </c>
      <c r="E272" s="52">
        <v>0</v>
      </c>
      <c r="F272" s="52">
        <v>786.9289</v>
      </c>
      <c r="G272" s="52">
        <v>262.30959999999999</v>
      </c>
      <c r="H272" s="52">
        <v>262.30959999999999</v>
      </c>
      <c r="I272" s="52">
        <v>524.61929999999995</v>
      </c>
      <c r="J272" s="52">
        <v>376.08229999999998</v>
      </c>
      <c r="K272" s="52">
        <v>1128.2470000000001</v>
      </c>
      <c r="L272" s="52">
        <v>376.08229999999998</v>
      </c>
      <c r="M272" s="52">
        <v>376.08229999999998</v>
      </c>
      <c r="N272" s="5" t="s">
        <v>69</v>
      </c>
    </row>
    <row r="273" spans="1:14" x14ac:dyDescent="0.25">
      <c r="A273" s="51">
        <v>1.0620000000000001</v>
      </c>
      <c r="B273" s="52">
        <v>4356.9489999999996</v>
      </c>
      <c r="C273" s="52">
        <v>262.55689999999998</v>
      </c>
      <c r="D273" s="52">
        <v>0</v>
      </c>
      <c r="E273" s="52">
        <v>0</v>
      </c>
      <c r="F273" s="52">
        <v>787.67060000000004</v>
      </c>
      <c r="G273" s="52">
        <v>262.55689999999998</v>
      </c>
      <c r="H273" s="52">
        <v>262.55689999999998</v>
      </c>
      <c r="I273" s="52">
        <v>525.11369999999999</v>
      </c>
      <c r="J273" s="52">
        <v>376.08229999999998</v>
      </c>
      <c r="K273" s="52">
        <v>1128.2470000000001</v>
      </c>
      <c r="L273" s="52">
        <v>376.08229999999998</v>
      </c>
      <c r="M273" s="52">
        <v>376.08229999999998</v>
      </c>
      <c r="N273" s="5" t="s">
        <v>69</v>
      </c>
    </row>
    <row r="274" spans="1:14" x14ac:dyDescent="0.25">
      <c r="A274" s="51">
        <v>1.0629999999999999</v>
      </c>
      <c r="B274" s="52">
        <v>4358.9268000000002</v>
      </c>
      <c r="C274" s="52">
        <v>262.80410000000001</v>
      </c>
      <c r="D274" s="52">
        <v>0</v>
      </c>
      <c r="E274" s="52">
        <v>0</v>
      </c>
      <c r="F274" s="52">
        <v>788.41229999999996</v>
      </c>
      <c r="G274" s="52">
        <v>262.80410000000001</v>
      </c>
      <c r="H274" s="52">
        <v>262.80410000000001</v>
      </c>
      <c r="I274" s="52">
        <v>525.60820000000001</v>
      </c>
      <c r="J274" s="52">
        <v>376.08229999999998</v>
      </c>
      <c r="K274" s="52">
        <v>1128.2470000000001</v>
      </c>
      <c r="L274" s="52">
        <v>376.08229999999998</v>
      </c>
      <c r="M274" s="52">
        <v>376.08229999999998</v>
      </c>
      <c r="N274" s="5" t="s">
        <v>69</v>
      </c>
    </row>
    <row r="275" spans="1:14" x14ac:dyDescent="0.25">
      <c r="A275" s="51">
        <v>1.0640000000000001</v>
      </c>
      <c r="B275" s="52">
        <v>4360.9045999999998</v>
      </c>
      <c r="C275" s="52">
        <v>263.05130000000003</v>
      </c>
      <c r="D275" s="52">
        <v>0</v>
      </c>
      <c r="E275" s="52">
        <v>0</v>
      </c>
      <c r="F275" s="52">
        <v>789.154</v>
      </c>
      <c r="G275" s="52">
        <v>263.05130000000003</v>
      </c>
      <c r="H275" s="52">
        <v>263.05130000000003</v>
      </c>
      <c r="I275" s="52">
        <v>526.10270000000003</v>
      </c>
      <c r="J275" s="52">
        <v>376.08229999999998</v>
      </c>
      <c r="K275" s="52">
        <v>1128.2470000000001</v>
      </c>
      <c r="L275" s="52">
        <v>376.08229999999998</v>
      </c>
      <c r="M275" s="52">
        <v>376.08229999999998</v>
      </c>
      <c r="N275" s="5" t="s">
        <v>69</v>
      </c>
    </row>
    <row r="276" spans="1:14" x14ac:dyDescent="0.25">
      <c r="A276" s="51">
        <v>1.0649999999999999</v>
      </c>
      <c r="B276" s="52">
        <v>4362.8824999999997</v>
      </c>
      <c r="C276" s="52">
        <v>263.29860000000002</v>
      </c>
      <c r="D276" s="52">
        <v>0</v>
      </c>
      <c r="E276" s="52">
        <v>0</v>
      </c>
      <c r="F276" s="52">
        <v>789.89570000000003</v>
      </c>
      <c r="G276" s="52">
        <v>263.29860000000002</v>
      </c>
      <c r="H276" s="52">
        <v>263.29860000000002</v>
      </c>
      <c r="I276" s="52">
        <v>526.59709999999995</v>
      </c>
      <c r="J276" s="52">
        <v>376.08229999999998</v>
      </c>
      <c r="K276" s="52">
        <v>1128.2470000000001</v>
      </c>
      <c r="L276" s="52">
        <v>376.08229999999998</v>
      </c>
      <c r="M276" s="52">
        <v>376.08229999999998</v>
      </c>
      <c r="N276" s="5" t="s">
        <v>69</v>
      </c>
    </row>
    <row r="277" spans="1:14" x14ac:dyDescent="0.25">
      <c r="A277" s="51">
        <v>1.0660000000000001</v>
      </c>
      <c r="B277" s="52">
        <v>4364.8603000000003</v>
      </c>
      <c r="C277" s="52">
        <v>263.54579999999999</v>
      </c>
      <c r="D277" s="52">
        <v>0</v>
      </c>
      <c r="E277" s="52">
        <v>0</v>
      </c>
      <c r="F277" s="52">
        <v>790.63739999999996</v>
      </c>
      <c r="G277" s="52">
        <v>263.54579999999999</v>
      </c>
      <c r="H277" s="52">
        <v>263.54579999999999</v>
      </c>
      <c r="I277" s="52">
        <v>527.09159999999997</v>
      </c>
      <c r="J277" s="52">
        <v>376.08229999999998</v>
      </c>
      <c r="K277" s="52">
        <v>1128.2470000000001</v>
      </c>
      <c r="L277" s="52">
        <v>376.08229999999998</v>
      </c>
      <c r="M277" s="52">
        <v>376.08229999999998</v>
      </c>
      <c r="N277" s="5" t="s">
        <v>69</v>
      </c>
    </row>
    <row r="278" spans="1:14" x14ac:dyDescent="0.25">
      <c r="A278" s="51">
        <v>1.0669999999999999</v>
      </c>
      <c r="B278" s="52">
        <v>4366.8380999999999</v>
      </c>
      <c r="C278" s="52">
        <v>263.79300000000001</v>
      </c>
      <c r="D278" s="52">
        <v>0</v>
      </c>
      <c r="E278" s="52">
        <v>0</v>
      </c>
      <c r="F278" s="52">
        <v>791.37900000000002</v>
      </c>
      <c r="G278" s="52">
        <v>263.79300000000001</v>
      </c>
      <c r="H278" s="52">
        <v>263.79300000000001</v>
      </c>
      <c r="I278" s="52">
        <v>527.58600000000001</v>
      </c>
      <c r="J278" s="52">
        <v>376.08229999999998</v>
      </c>
      <c r="K278" s="52">
        <v>1128.2470000000001</v>
      </c>
      <c r="L278" s="52">
        <v>376.08229999999998</v>
      </c>
      <c r="M278" s="52">
        <v>376.08229999999998</v>
      </c>
      <c r="N278" s="5" t="s">
        <v>69</v>
      </c>
    </row>
    <row r="279" spans="1:14" x14ac:dyDescent="0.25">
      <c r="A279" s="51">
        <v>1.0680000000000001</v>
      </c>
      <c r="B279" s="52">
        <v>4368.8159999999998</v>
      </c>
      <c r="C279" s="52">
        <v>264.04020000000003</v>
      </c>
      <c r="D279" s="52">
        <v>0</v>
      </c>
      <c r="E279" s="52">
        <v>0</v>
      </c>
      <c r="F279" s="52">
        <v>792.12070000000006</v>
      </c>
      <c r="G279" s="52">
        <v>264.04020000000003</v>
      </c>
      <c r="H279" s="52">
        <v>264.04020000000003</v>
      </c>
      <c r="I279" s="52">
        <v>528.08050000000003</v>
      </c>
      <c r="J279" s="52">
        <v>376.08229999999998</v>
      </c>
      <c r="K279" s="52">
        <v>1128.2470000000001</v>
      </c>
      <c r="L279" s="52">
        <v>376.08229999999998</v>
      </c>
      <c r="M279" s="52">
        <v>376.08229999999998</v>
      </c>
      <c r="N279" s="5" t="s">
        <v>69</v>
      </c>
    </row>
    <row r="280" spans="1:14" x14ac:dyDescent="0.25">
      <c r="A280" s="51">
        <v>1.069</v>
      </c>
      <c r="B280" s="52">
        <v>4370.7938000000004</v>
      </c>
      <c r="C280" s="52">
        <v>264.28750000000002</v>
      </c>
      <c r="D280" s="52">
        <v>0</v>
      </c>
      <c r="E280" s="52">
        <v>0</v>
      </c>
      <c r="F280" s="52">
        <v>792.86239999999998</v>
      </c>
      <c r="G280" s="52">
        <v>264.28750000000002</v>
      </c>
      <c r="H280" s="52">
        <v>264.28750000000002</v>
      </c>
      <c r="I280" s="52">
        <v>528.57489999999996</v>
      </c>
      <c r="J280" s="52">
        <v>376.08229999999998</v>
      </c>
      <c r="K280" s="52">
        <v>1128.2470000000001</v>
      </c>
      <c r="L280" s="52">
        <v>376.08229999999998</v>
      </c>
      <c r="M280" s="52">
        <v>376.08229999999998</v>
      </c>
      <c r="N280" s="5" t="s">
        <v>69</v>
      </c>
    </row>
    <row r="281" spans="1:14" x14ac:dyDescent="0.25">
      <c r="A281" s="51">
        <v>1.07</v>
      </c>
      <c r="B281" s="52">
        <v>4372.7716</v>
      </c>
      <c r="C281" s="52">
        <v>264.53469999999999</v>
      </c>
      <c r="D281" s="52">
        <v>0</v>
      </c>
      <c r="E281" s="52">
        <v>0</v>
      </c>
      <c r="F281" s="52">
        <v>793.60410000000002</v>
      </c>
      <c r="G281" s="52">
        <v>264.53469999999999</v>
      </c>
      <c r="H281" s="52">
        <v>264.53469999999999</v>
      </c>
      <c r="I281" s="52">
        <v>529.06939999999997</v>
      </c>
      <c r="J281" s="52">
        <v>376.08229999999998</v>
      </c>
      <c r="K281" s="52">
        <v>1128.2470000000001</v>
      </c>
      <c r="L281" s="52">
        <v>376.08229999999998</v>
      </c>
      <c r="M281" s="52">
        <v>376.08229999999998</v>
      </c>
      <c r="N281" s="5" t="s">
        <v>69</v>
      </c>
    </row>
    <row r="282" spans="1:14" x14ac:dyDescent="0.25">
      <c r="A282" s="51">
        <v>1.071</v>
      </c>
      <c r="B282" s="52">
        <v>4374.7493999999997</v>
      </c>
      <c r="C282" s="52">
        <v>264.78190000000001</v>
      </c>
      <c r="D282" s="52">
        <v>0</v>
      </c>
      <c r="E282" s="52">
        <v>0</v>
      </c>
      <c r="F282" s="52">
        <v>794.34580000000005</v>
      </c>
      <c r="G282" s="52">
        <v>264.78190000000001</v>
      </c>
      <c r="H282" s="52">
        <v>264.78190000000001</v>
      </c>
      <c r="I282" s="52">
        <v>529.56389999999999</v>
      </c>
      <c r="J282" s="52">
        <v>376.08229999999998</v>
      </c>
      <c r="K282" s="52">
        <v>1128.2470000000001</v>
      </c>
      <c r="L282" s="52">
        <v>376.08229999999998</v>
      </c>
      <c r="M282" s="52">
        <v>376.08229999999998</v>
      </c>
      <c r="N282" s="5" t="s">
        <v>69</v>
      </c>
    </row>
    <row r="283" spans="1:14" x14ac:dyDescent="0.25">
      <c r="A283" s="51">
        <v>1.0720000000000001</v>
      </c>
      <c r="B283" s="52">
        <v>4376.7272999999996</v>
      </c>
      <c r="C283" s="52">
        <v>265.0292</v>
      </c>
      <c r="D283" s="52">
        <v>0</v>
      </c>
      <c r="E283" s="52">
        <v>0</v>
      </c>
      <c r="F283" s="52">
        <v>795.08749999999998</v>
      </c>
      <c r="G283" s="52">
        <v>265.0292</v>
      </c>
      <c r="H283" s="52">
        <v>265.0292</v>
      </c>
      <c r="I283" s="52">
        <v>530.05830000000003</v>
      </c>
      <c r="J283" s="52">
        <v>376.08229999999998</v>
      </c>
      <c r="K283" s="52">
        <v>1128.2470000000001</v>
      </c>
      <c r="L283" s="52">
        <v>376.08229999999998</v>
      </c>
      <c r="M283" s="52">
        <v>376.08229999999998</v>
      </c>
      <c r="N283" s="5" t="s">
        <v>69</v>
      </c>
    </row>
    <row r="284" spans="1:14" x14ac:dyDescent="0.25">
      <c r="A284" s="51">
        <v>1.073</v>
      </c>
      <c r="B284" s="52">
        <v>4378.7051000000001</v>
      </c>
      <c r="C284" s="52">
        <v>265.27640000000002</v>
      </c>
      <c r="D284" s="52">
        <v>0</v>
      </c>
      <c r="E284" s="52">
        <v>0</v>
      </c>
      <c r="F284" s="52">
        <v>795.82920000000001</v>
      </c>
      <c r="G284" s="52">
        <v>265.27640000000002</v>
      </c>
      <c r="H284" s="52">
        <v>265.27640000000002</v>
      </c>
      <c r="I284" s="52">
        <v>530.55280000000005</v>
      </c>
      <c r="J284" s="52">
        <v>376.08229999999998</v>
      </c>
      <c r="K284" s="52">
        <v>1128.2470000000001</v>
      </c>
      <c r="L284" s="52">
        <v>376.08229999999998</v>
      </c>
      <c r="M284" s="52">
        <v>376.08229999999998</v>
      </c>
      <c r="N284" s="5" t="s">
        <v>69</v>
      </c>
    </row>
    <row r="285" spans="1:14" x14ac:dyDescent="0.25">
      <c r="A285" s="51">
        <v>1.0740000000000001</v>
      </c>
      <c r="B285" s="52">
        <v>4380.6828999999998</v>
      </c>
      <c r="C285" s="52">
        <v>265.52359999999999</v>
      </c>
      <c r="D285" s="52">
        <v>0</v>
      </c>
      <c r="E285" s="52">
        <v>0</v>
      </c>
      <c r="F285" s="52">
        <v>796.57079999999996</v>
      </c>
      <c r="G285" s="52">
        <v>265.52359999999999</v>
      </c>
      <c r="H285" s="52">
        <v>265.52359999999999</v>
      </c>
      <c r="I285" s="52">
        <v>531.04719999999998</v>
      </c>
      <c r="J285" s="52">
        <v>376.08229999999998</v>
      </c>
      <c r="K285" s="52">
        <v>1128.2470000000001</v>
      </c>
      <c r="L285" s="52">
        <v>376.08229999999998</v>
      </c>
      <c r="M285" s="52">
        <v>376.08229999999998</v>
      </c>
      <c r="N285" s="5" t="s">
        <v>69</v>
      </c>
    </row>
    <row r="286" spans="1:14" x14ac:dyDescent="0.25">
      <c r="A286" s="51">
        <v>1.075</v>
      </c>
      <c r="B286" s="52">
        <v>4382.6607999999997</v>
      </c>
      <c r="C286" s="52">
        <v>265.77080000000001</v>
      </c>
      <c r="D286" s="52">
        <v>0</v>
      </c>
      <c r="E286" s="52">
        <v>0</v>
      </c>
      <c r="F286" s="52">
        <v>797.3125</v>
      </c>
      <c r="G286" s="52">
        <v>265.77080000000001</v>
      </c>
      <c r="H286" s="52">
        <v>265.77080000000001</v>
      </c>
      <c r="I286" s="52">
        <v>531.54169999999999</v>
      </c>
      <c r="J286" s="52">
        <v>376.08229999999998</v>
      </c>
      <c r="K286" s="52">
        <v>1128.2470000000001</v>
      </c>
      <c r="L286" s="52">
        <v>376.08229999999998</v>
      </c>
      <c r="M286" s="52">
        <v>376.08229999999998</v>
      </c>
      <c r="N286" s="5" t="s">
        <v>69</v>
      </c>
    </row>
    <row r="287" spans="1:14" x14ac:dyDescent="0.25">
      <c r="A287" s="51">
        <v>1.0760000000000001</v>
      </c>
      <c r="B287" s="52">
        <v>4384.6386000000002</v>
      </c>
      <c r="C287" s="52">
        <v>266.0181</v>
      </c>
      <c r="D287" s="52">
        <v>0</v>
      </c>
      <c r="E287" s="52">
        <v>0</v>
      </c>
      <c r="F287" s="52">
        <v>798.05420000000004</v>
      </c>
      <c r="G287" s="52">
        <v>266.0181</v>
      </c>
      <c r="H287" s="52">
        <v>266.0181</v>
      </c>
      <c r="I287" s="52">
        <v>532.03610000000003</v>
      </c>
      <c r="J287" s="52">
        <v>376.08229999999998</v>
      </c>
      <c r="K287" s="52">
        <v>1128.2470000000001</v>
      </c>
      <c r="L287" s="52">
        <v>376.08229999999998</v>
      </c>
      <c r="M287" s="52">
        <v>376.08229999999998</v>
      </c>
      <c r="N287" s="5" t="s">
        <v>69</v>
      </c>
    </row>
    <row r="288" spans="1:14" x14ac:dyDescent="0.25">
      <c r="A288" s="51">
        <v>1.077</v>
      </c>
      <c r="B288" s="52">
        <v>4386.6163999999999</v>
      </c>
      <c r="C288" s="52">
        <v>266.26530000000002</v>
      </c>
      <c r="D288" s="52">
        <v>0</v>
      </c>
      <c r="E288" s="52">
        <v>0</v>
      </c>
      <c r="F288" s="52">
        <v>798.79589999999996</v>
      </c>
      <c r="G288" s="52">
        <v>266.26530000000002</v>
      </c>
      <c r="H288" s="52">
        <v>266.26530000000002</v>
      </c>
      <c r="I288" s="52">
        <v>532.53060000000005</v>
      </c>
      <c r="J288" s="52">
        <v>376.08229999999998</v>
      </c>
      <c r="K288" s="52">
        <v>1128.2470000000001</v>
      </c>
      <c r="L288" s="52">
        <v>376.08229999999998</v>
      </c>
      <c r="M288" s="52">
        <v>376.08229999999998</v>
      </c>
      <c r="N288" s="5" t="s">
        <v>69</v>
      </c>
    </row>
    <row r="289" spans="1:14" x14ac:dyDescent="0.25">
      <c r="A289" s="51">
        <v>1.0780000000000001</v>
      </c>
      <c r="B289" s="52">
        <v>4388.5941999999995</v>
      </c>
      <c r="C289" s="52">
        <v>266.51249999999999</v>
      </c>
      <c r="D289" s="52">
        <v>0</v>
      </c>
      <c r="E289" s="52">
        <v>0</v>
      </c>
      <c r="F289" s="52">
        <v>799.5376</v>
      </c>
      <c r="G289" s="52">
        <v>266.51249999999999</v>
      </c>
      <c r="H289" s="52">
        <v>266.51249999999999</v>
      </c>
      <c r="I289" s="52">
        <v>533.02509999999995</v>
      </c>
      <c r="J289" s="52">
        <v>376.08229999999998</v>
      </c>
      <c r="K289" s="52">
        <v>1128.2470000000001</v>
      </c>
      <c r="L289" s="52">
        <v>376.08229999999998</v>
      </c>
      <c r="M289" s="52">
        <v>376.08229999999998</v>
      </c>
      <c r="N289" s="5" t="s">
        <v>69</v>
      </c>
    </row>
    <row r="290" spans="1:14" x14ac:dyDescent="0.25">
      <c r="A290" s="51">
        <v>1.079</v>
      </c>
      <c r="B290" s="52">
        <v>4390.5721000000003</v>
      </c>
      <c r="C290" s="52">
        <v>266.75979999999998</v>
      </c>
      <c r="D290" s="52">
        <v>0</v>
      </c>
      <c r="E290" s="52">
        <v>0</v>
      </c>
      <c r="F290" s="52">
        <v>800.27930000000003</v>
      </c>
      <c r="G290" s="52">
        <v>266.75979999999998</v>
      </c>
      <c r="H290" s="52">
        <v>266.75979999999998</v>
      </c>
      <c r="I290" s="52">
        <v>533.51949999999999</v>
      </c>
      <c r="J290" s="52">
        <v>376.08229999999998</v>
      </c>
      <c r="K290" s="52">
        <v>1128.2470000000001</v>
      </c>
      <c r="L290" s="52">
        <v>376.08229999999998</v>
      </c>
      <c r="M290" s="52">
        <v>376.08229999999998</v>
      </c>
      <c r="N290" s="5" t="s">
        <v>69</v>
      </c>
    </row>
    <row r="291" spans="1:14" x14ac:dyDescent="0.25">
      <c r="A291" s="51">
        <v>1.08</v>
      </c>
      <c r="B291" s="52">
        <v>4392.5499</v>
      </c>
      <c r="C291" s="52">
        <v>267.00700000000001</v>
      </c>
      <c r="D291" s="52">
        <v>0</v>
      </c>
      <c r="E291" s="52">
        <v>0</v>
      </c>
      <c r="F291" s="52">
        <v>801.02099999999996</v>
      </c>
      <c r="G291" s="52">
        <v>267.00700000000001</v>
      </c>
      <c r="H291" s="52">
        <v>267.00700000000001</v>
      </c>
      <c r="I291" s="52">
        <v>534.01400000000001</v>
      </c>
      <c r="J291" s="52">
        <v>376.08229999999998</v>
      </c>
      <c r="K291" s="52">
        <v>1128.2470000000001</v>
      </c>
      <c r="L291" s="52">
        <v>376.08229999999998</v>
      </c>
      <c r="M291" s="52">
        <v>376.08229999999998</v>
      </c>
      <c r="N291" s="5" t="s">
        <v>69</v>
      </c>
    </row>
    <row r="292" spans="1:14" x14ac:dyDescent="0.25">
      <c r="A292" s="51">
        <v>1.081</v>
      </c>
      <c r="B292" s="52">
        <v>4394.5276999999996</v>
      </c>
      <c r="C292" s="52">
        <v>267.25420000000003</v>
      </c>
      <c r="D292" s="52">
        <v>0</v>
      </c>
      <c r="E292" s="52">
        <v>0</v>
      </c>
      <c r="F292" s="52">
        <v>801.7627</v>
      </c>
      <c r="G292" s="52">
        <v>267.25420000000003</v>
      </c>
      <c r="H292" s="52">
        <v>267.25420000000003</v>
      </c>
      <c r="I292" s="52">
        <v>534.50840000000005</v>
      </c>
      <c r="J292" s="52">
        <v>376.08229999999998</v>
      </c>
      <c r="K292" s="52">
        <v>1128.2470000000001</v>
      </c>
      <c r="L292" s="52">
        <v>376.08229999999998</v>
      </c>
      <c r="M292" s="52">
        <v>376.08229999999998</v>
      </c>
      <c r="N292" s="5" t="s">
        <v>69</v>
      </c>
    </row>
    <row r="293" spans="1:14" x14ac:dyDescent="0.25">
      <c r="A293" s="51">
        <v>1.0820000000000001</v>
      </c>
      <c r="B293" s="52">
        <v>4396.5056000000004</v>
      </c>
      <c r="C293" s="52">
        <v>267.50139999999999</v>
      </c>
      <c r="D293" s="52">
        <v>0</v>
      </c>
      <c r="E293" s="52">
        <v>0</v>
      </c>
      <c r="F293" s="52">
        <v>802.50429999999994</v>
      </c>
      <c r="G293" s="52">
        <v>267.50139999999999</v>
      </c>
      <c r="H293" s="52">
        <v>267.50139999999999</v>
      </c>
      <c r="I293" s="52">
        <v>535.00289999999995</v>
      </c>
      <c r="J293" s="52">
        <v>376.08229999999998</v>
      </c>
      <c r="K293" s="52">
        <v>1128.2470000000001</v>
      </c>
      <c r="L293" s="52">
        <v>376.08229999999998</v>
      </c>
      <c r="M293" s="52">
        <v>376.08229999999998</v>
      </c>
      <c r="N293" s="5" t="s">
        <v>69</v>
      </c>
    </row>
    <row r="294" spans="1:14" x14ac:dyDescent="0.25">
      <c r="A294" s="51">
        <v>1.083</v>
      </c>
      <c r="B294" s="52">
        <v>4398.4834000000001</v>
      </c>
      <c r="C294" s="52">
        <v>267.74869999999999</v>
      </c>
      <c r="D294" s="52">
        <v>0</v>
      </c>
      <c r="E294" s="52">
        <v>0</v>
      </c>
      <c r="F294" s="52">
        <v>803.24599999999998</v>
      </c>
      <c r="G294" s="52">
        <v>267.74869999999999</v>
      </c>
      <c r="H294" s="52">
        <v>267.74869999999999</v>
      </c>
      <c r="I294" s="52">
        <v>535.4973</v>
      </c>
      <c r="J294" s="52">
        <v>376.08229999999998</v>
      </c>
      <c r="K294" s="52">
        <v>1128.2470000000001</v>
      </c>
      <c r="L294" s="52">
        <v>376.08229999999998</v>
      </c>
      <c r="M294" s="52">
        <v>376.08229999999998</v>
      </c>
      <c r="N294" s="5" t="s">
        <v>69</v>
      </c>
    </row>
    <row r="295" spans="1:14" x14ac:dyDescent="0.25">
      <c r="A295" s="51">
        <v>1.0840000000000001</v>
      </c>
      <c r="B295" s="52">
        <v>4400.4611999999997</v>
      </c>
      <c r="C295" s="52">
        <v>267.99590000000001</v>
      </c>
      <c r="D295" s="52">
        <v>0</v>
      </c>
      <c r="E295" s="52">
        <v>0</v>
      </c>
      <c r="F295" s="52">
        <v>803.98770000000002</v>
      </c>
      <c r="G295" s="52">
        <v>267.99590000000001</v>
      </c>
      <c r="H295" s="52">
        <v>267.99590000000001</v>
      </c>
      <c r="I295" s="52">
        <v>535.99180000000001</v>
      </c>
      <c r="J295" s="52">
        <v>376.08229999999998</v>
      </c>
      <c r="K295" s="52">
        <v>1128.2470000000001</v>
      </c>
      <c r="L295" s="52">
        <v>376.08229999999998</v>
      </c>
      <c r="M295" s="52">
        <v>376.08229999999998</v>
      </c>
      <c r="N295" s="5" t="s">
        <v>69</v>
      </c>
    </row>
    <row r="296" spans="1:14" x14ac:dyDescent="0.25">
      <c r="A296" s="51">
        <v>1.085</v>
      </c>
      <c r="B296" s="52">
        <v>4402.4390999999996</v>
      </c>
      <c r="C296" s="52">
        <v>268.24310000000003</v>
      </c>
      <c r="D296" s="52">
        <v>0</v>
      </c>
      <c r="E296" s="52">
        <v>0</v>
      </c>
      <c r="F296" s="52">
        <v>804.72940000000006</v>
      </c>
      <c r="G296" s="52">
        <v>268.24310000000003</v>
      </c>
      <c r="H296" s="52">
        <v>268.24310000000003</v>
      </c>
      <c r="I296" s="52">
        <v>536.48630000000003</v>
      </c>
      <c r="J296" s="52">
        <v>376.08229999999998</v>
      </c>
      <c r="K296" s="52">
        <v>1128.2470000000001</v>
      </c>
      <c r="L296" s="52">
        <v>376.08229999999998</v>
      </c>
      <c r="M296" s="52">
        <v>376.08229999999998</v>
      </c>
      <c r="N296" s="5" t="s">
        <v>69</v>
      </c>
    </row>
    <row r="297" spans="1:14" x14ac:dyDescent="0.25">
      <c r="A297" s="51">
        <v>1.0860000000000001</v>
      </c>
      <c r="B297" s="52">
        <v>4404.4169000000002</v>
      </c>
      <c r="C297" s="52">
        <v>268.49040000000002</v>
      </c>
      <c r="D297" s="52">
        <v>0</v>
      </c>
      <c r="E297" s="52">
        <v>0</v>
      </c>
      <c r="F297" s="52">
        <v>805.47109999999998</v>
      </c>
      <c r="G297" s="52">
        <v>268.49040000000002</v>
      </c>
      <c r="H297" s="52">
        <v>268.49040000000002</v>
      </c>
      <c r="I297" s="52">
        <v>536.98069999999996</v>
      </c>
      <c r="J297" s="52">
        <v>376.08229999999998</v>
      </c>
      <c r="K297" s="52">
        <v>1128.2470000000001</v>
      </c>
      <c r="L297" s="52">
        <v>376.08229999999998</v>
      </c>
      <c r="M297" s="52">
        <v>376.08229999999998</v>
      </c>
      <c r="N297" s="5" t="s">
        <v>69</v>
      </c>
    </row>
    <row r="298" spans="1:14" x14ac:dyDescent="0.25">
      <c r="A298" s="51">
        <v>1.087</v>
      </c>
      <c r="B298" s="52">
        <v>4406.3946999999998</v>
      </c>
      <c r="C298" s="52">
        <v>268.73759999999999</v>
      </c>
      <c r="D298" s="52">
        <v>0</v>
      </c>
      <c r="E298" s="52">
        <v>0</v>
      </c>
      <c r="F298" s="52">
        <v>806.21280000000002</v>
      </c>
      <c r="G298" s="52">
        <v>268.73759999999999</v>
      </c>
      <c r="H298" s="52">
        <v>268.73759999999999</v>
      </c>
      <c r="I298" s="52">
        <v>537.47519999999997</v>
      </c>
      <c r="J298" s="52">
        <v>376.08229999999998</v>
      </c>
      <c r="K298" s="52">
        <v>1128.2470000000001</v>
      </c>
      <c r="L298" s="52">
        <v>376.08229999999998</v>
      </c>
      <c r="M298" s="52">
        <v>376.08229999999998</v>
      </c>
      <c r="N298" s="5" t="s">
        <v>69</v>
      </c>
    </row>
    <row r="299" spans="1:14" x14ac:dyDescent="0.25">
      <c r="A299" s="51">
        <v>1.0880000000000001</v>
      </c>
      <c r="B299" s="52">
        <v>4408.3725000000004</v>
      </c>
      <c r="C299" s="52">
        <v>268.98480000000001</v>
      </c>
      <c r="D299" s="52">
        <v>0</v>
      </c>
      <c r="E299" s="52">
        <v>0</v>
      </c>
      <c r="F299" s="52">
        <v>806.95450000000005</v>
      </c>
      <c r="G299" s="52">
        <v>268.98480000000001</v>
      </c>
      <c r="H299" s="52">
        <v>268.98480000000001</v>
      </c>
      <c r="I299" s="52">
        <v>537.96960000000001</v>
      </c>
      <c r="J299" s="52">
        <v>376.08229999999998</v>
      </c>
      <c r="K299" s="52">
        <v>1128.2470000000001</v>
      </c>
      <c r="L299" s="52">
        <v>376.08229999999998</v>
      </c>
      <c r="M299" s="52">
        <v>376.08229999999998</v>
      </c>
      <c r="N299" s="5" t="s">
        <v>69</v>
      </c>
    </row>
    <row r="300" spans="1:14" x14ac:dyDescent="0.25">
      <c r="A300" s="51">
        <v>1.089</v>
      </c>
      <c r="B300" s="52">
        <v>4410.3504000000003</v>
      </c>
      <c r="C300" s="52">
        <v>269.23200000000003</v>
      </c>
      <c r="D300" s="52">
        <v>0</v>
      </c>
      <c r="E300" s="52">
        <v>0</v>
      </c>
      <c r="F300" s="52">
        <v>807.6961</v>
      </c>
      <c r="G300" s="52">
        <v>269.23200000000003</v>
      </c>
      <c r="H300" s="52">
        <v>269.23200000000003</v>
      </c>
      <c r="I300" s="52">
        <v>538.46410000000003</v>
      </c>
      <c r="J300" s="52">
        <v>376.08229999999998</v>
      </c>
      <c r="K300" s="52">
        <v>1128.2470000000001</v>
      </c>
      <c r="L300" s="52">
        <v>376.08229999999998</v>
      </c>
      <c r="M300" s="52">
        <v>376.08229999999998</v>
      </c>
      <c r="N300" s="5" t="s">
        <v>69</v>
      </c>
    </row>
    <row r="301" spans="1:14" x14ac:dyDescent="0.25">
      <c r="A301" s="51">
        <v>1.0900000000000001</v>
      </c>
      <c r="B301" s="52">
        <v>4412.3281999999999</v>
      </c>
      <c r="C301" s="52">
        <v>269.47930000000002</v>
      </c>
      <c r="D301" s="52">
        <v>0</v>
      </c>
      <c r="E301" s="52">
        <v>0</v>
      </c>
      <c r="F301" s="52">
        <v>808.43780000000004</v>
      </c>
      <c r="G301" s="52">
        <v>269.47930000000002</v>
      </c>
      <c r="H301" s="52">
        <v>269.47930000000002</v>
      </c>
      <c r="I301" s="52">
        <v>538.95860000000005</v>
      </c>
      <c r="J301" s="52">
        <v>376.08229999999998</v>
      </c>
      <c r="K301" s="52">
        <v>1128.2470000000001</v>
      </c>
      <c r="L301" s="52">
        <v>376.08229999999998</v>
      </c>
      <c r="M301" s="52">
        <v>376.08229999999998</v>
      </c>
      <c r="N301" s="5" t="s">
        <v>69</v>
      </c>
    </row>
    <row r="302" spans="1:14" x14ac:dyDescent="0.25">
      <c r="A302" s="51">
        <v>1.091</v>
      </c>
      <c r="B302" s="52">
        <v>4414.3059999999996</v>
      </c>
      <c r="C302" s="52">
        <v>269.72649999999999</v>
      </c>
      <c r="D302" s="52">
        <v>0</v>
      </c>
      <c r="E302" s="52">
        <v>0</v>
      </c>
      <c r="F302" s="52">
        <v>809.17949999999996</v>
      </c>
      <c r="G302" s="52">
        <v>269.72649999999999</v>
      </c>
      <c r="H302" s="52">
        <v>269.72649999999999</v>
      </c>
      <c r="I302" s="52">
        <v>539.45299999999997</v>
      </c>
      <c r="J302" s="52">
        <v>376.08229999999998</v>
      </c>
      <c r="K302" s="52">
        <v>1128.2470000000001</v>
      </c>
      <c r="L302" s="52">
        <v>376.08229999999998</v>
      </c>
      <c r="M302" s="52">
        <v>376.08229999999998</v>
      </c>
      <c r="N302" s="5" t="s">
        <v>69</v>
      </c>
    </row>
    <row r="303" spans="1:14" x14ac:dyDescent="0.25">
      <c r="A303" s="51">
        <v>1.0920000000000001</v>
      </c>
      <c r="B303" s="52">
        <v>4416.2839000000004</v>
      </c>
      <c r="C303" s="52">
        <v>269.97370000000001</v>
      </c>
      <c r="D303" s="52">
        <v>0</v>
      </c>
      <c r="E303" s="52">
        <v>0</v>
      </c>
      <c r="F303" s="52">
        <v>809.9212</v>
      </c>
      <c r="G303" s="52">
        <v>269.97370000000001</v>
      </c>
      <c r="H303" s="52">
        <v>269.97370000000001</v>
      </c>
      <c r="I303" s="52">
        <v>539.94749999999999</v>
      </c>
      <c r="J303" s="52">
        <v>376.08229999999998</v>
      </c>
      <c r="K303" s="52">
        <v>1128.2470000000001</v>
      </c>
      <c r="L303" s="52">
        <v>376.08229999999998</v>
      </c>
      <c r="M303" s="52">
        <v>376.08229999999998</v>
      </c>
      <c r="N303" s="5" t="s">
        <v>69</v>
      </c>
    </row>
    <row r="304" spans="1:14" x14ac:dyDescent="0.25">
      <c r="A304" s="51">
        <v>1.093</v>
      </c>
      <c r="B304" s="52">
        <v>4418.2617</v>
      </c>
      <c r="C304" s="52">
        <v>270.221</v>
      </c>
      <c r="D304" s="52">
        <v>0</v>
      </c>
      <c r="E304" s="52">
        <v>0</v>
      </c>
      <c r="F304" s="52">
        <v>810.66290000000004</v>
      </c>
      <c r="G304" s="52">
        <v>270.221</v>
      </c>
      <c r="H304" s="52">
        <v>270.221</v>
      </c>
      <c r="I304" s="52">
        <v>540.44190000000003</v>
      </c>
      <c r="J304" s="52">
        <v>376.08229999999998</v>
      </c>
      <c r="K304" s="52">
        <v>1128.2470000000001</v>
      </c>
      <c r="L304" s="52">
        <v>376.08229999999998</v>
      </c>
      <c r="M304" s="52">
        <v>376.08229999999998</v>
      </c>
      <c r="N304" s="5" t="s">
        <v>69</v>
      </c>
    </row>
    <row r="305" spans="1:14" x14ac:dyDescent="0.25">
      <c r="A305" s="51">
        <v>1.0940000000000001</v>
      </c>
      <c r="B305" s="52">
        <v>4420.2394999999997</v>
      </c>
      <c r="C305" s="52">
        <v>270.46820000000002</v>
      </c>
      <c r="D305" s="52">
        <v>0</v>
      </c>
      <c r="E305" s="52">
        <v>0</v>
      </c>
      <c r="F305" s="52">
        <v>811.40459999999996</v>
      </c>
      <c r="G305" s="52">
        <v>270.46820000000002</v>
      </c>
      <c r="H305" s="52">
        <v>270.46820000000002</v>
      </c>
      <c r="I305" s="52">
        <v>540.93640000000005</v>
      </c>
      <c r="J305" s="52">
        <v>376.08229999999998</v>
      </c>
      <c r="K305" s="52">
        <v>1128.2470000000001</v>
      </c>
      <c r="L305" s="52">
        <v>376.08229999999998</v>
      </c>
      <c r="M305" s="52">
        <v>376.08229999999998</v>
      </c>
      <c r="N305" s="5" t="s">
        <v>69</v>
      </c>
    </row>
    <row r="306" spans="1:14" x14ac:dyDescent="0.25">
      <c r="A306" s="51">
        <v>1.095</v>
      </c>
      <c r="B306" s="52">
        <v>4422.2173000000003</v>
      </c>
      <c r="C306" s="52">
        <v>270.71539999999999</v>
      </c>
      <c r="D306" s="52">
        <v>0</v>
      </c>
      <c r="E306" s="52">
        <v>0</v>
      </c>
      <c r="F306" s="52">
        <v>812.1463</v>
      </c>
      <c r="G306" s="52">
        <v>270.71539999999999</v>
      </c>
      <c r="H306" s="52">
        <v>270.71539999999999</v>
      </c>
      <c r="I306" s="52">
        <v>541.43079999999998</v>
      </c>
      <c r="J306" s="52">
        <v>376.08229999999998</v>
      </c>
      <c r="K306" s="52">
        <v>1128.2470000000001</v>
      </c>
      <c r="L306" s="52">
        <v>376.08229999999998</v>
      </c>
      <c r="M306" s="52">
        <v>376.08229999999998</v>
      </c>
      <c r="N306" s="5" t="s">
        <v>69</v>
      </c>
    </row>
    <row r="307" spans="1:14" x14ac:dyDescent="0.25">
      <c r="A307" s="51">
        <v>1.0960000000000001</v>
      </c>
      <c r="B307" s="52">
        <v>4424.1952000000001</v>
      </c>
      <c r="C307" s="52">
        <v>270.96260000000001</v>
      </c>
      <c r="D307" s="52">
        <v>0</v>
      </c>
      <c r="E307" s="52">
        <v>0</v>
      </c>
      <c r="F307" s="52">
        <v>812.88789999999995</v>
      </c>
      <c r="G307" s="52">
        <v>270.96260000000001</v>
      </c>
      <c r="H307" s="52">
        <v>270.96260000000001</v>
      </c>
      <c r="I307" s="52">
        <v>541.92529999999999</v>
      </c>
      <c r="J307" s="52">
        <v>376.08229999999998</v>
      </c>
      <c r="K307" s="52">
        <v>1128.2470000000001</v>
      </c>
      <c r="L307" s="52">
        <v>376.08229999999998</v>
      </c>
      <c r="M307" s="52">
        <v>376.08229999999998</v>
      </c>
      <c r="N307" s="5" t="s">
        <v>69</v>
      </c>
    </row>
    <row r="308" spans="1:14" x14ac:dyDescent="0.25">
      <c r="A308" s="51">
        <v>1.097</v>
      </c>
      <c r="B308" s="52">
        <v>4426.1729999999998</v>
      </c>
      <c r="C308" s="52">
        <v>271.2099</v>
      </c>
      <c r="D308" s="52">
        <v>0</v>
      </c>
      <c r="E308" s="52">
        <v>0</v>
      </c>
      <c r="F308" s="52">
        <v>813.62959999999998</v>
      </c>
      <c r="G308" s="52">
        <v>271.2099</v>
      </c>
      <c r="H308" s="52">
        <v>271.2099</v>
      </c>
      <c r="I308" s="52">
        <v>542.41980000000001</v>
      </c>
      <c r="J308" s="52">
        <v>376.08229999999998</v>
      </c>
      <c r="K308" s="52">
        <v>1128.2470000000001</v>
      </c>
      <c r="L308" s="52">
        <v>376.08229999999998</v>
      </c>
      <c r="M308" s="52">
        <v>376.08229999999998</v>
      </c>
      <c r="N308" s="5" t="s">
        <v>69</v>
      </c>
    </row>
    <row r="309" spans="1:14" x14ac:dyDescent="0.25">
      <c r="A309" s="51">
        <v>1.0980000000000001</v>
      </c>
      <c r="B309" s="52">
        <v>4428.1508000000003</v>
      </c>
      <c r="C309" s="52">
        <v>271.45710000000003</v>
      </c>
      <c r="D309" s="52">
        <v>0</v>
      </c>
      <c r="E309" s="52">
        <v>0</v>
      </c>
      <c r="F309" s="52">
        <v>814.37130000000002</v>
      </c>
      <c r="G309" s="52">
        <v>271.45710000000003</v>
      </c>
      <c r="H309" s="52">
        <v>271.45710000000003</v>
      </c>
      <c r="I309" s="52">
        <v>542.91420000000005</v>
      </c>
      <c r="J309" s="52">
        <v>376.08229999999998</v>
      </c>
      <c r="K309" s="52">
        <v>1128.2470000000001</v>
      </c>
      <c r="L309" s="52">
        <v>376.08229999999998</v>
      </c>
      <c r="M309" s="52">
        <v>376.08229999999998</v>
      </c>
      <c r="N309" s="5" t="s">
        <v>69</v>
      </c>
    </row>
    <row r="310" spans="1:14" x14ac:dyDescent="0.25">
      <c r="A310" s="51">
        <v>1.099</v>
      </c>
      <c r="B310" s="52">
        <v>4430.1287000000002</v>
      </c>
      <c r="C310" s="52">
        <v>271.70429999999999</v>
      </c>
      <c r="D310" s="52">
        <v>0</v>
      </c>
      <c r="E310" s="52">
        <v>0</v>
      </c>
      <c r="F310" s="52">
        <v>815.11300000000006</v>
      </c>
      <c r="G310" s="52">
        <v>271.70429999999999</v>
      </c>
      <c r="H310" s="52">
        <v>271.70429999999999</v>
      </c>
      <c r="I310" s="52">
        <v>543.40869999999995</v>
      </c>
      <c r="J310" s="52">
        <v>376.08229999999998</v>
      </c>
      <c r="K310" s="52">
        <v>1128.2470000000001</v>
      </c>
      <c r="L310" s="52">
        <v>376.08229999999998</v>
      </c>
      <c r="M310" s="52">
        <v>376.08229999999998</v>
      </c>
      <c r="N310" s="5" t="s">
        <v>69</v>
      </c>
    </row>
    <row r="311" spans="1:14" x14ac:dyDescent="0.25">
      <c r="A311" s="51">
        <v>1.1000000000000001</v>
      </c>
      <c r="B311" s="52">
        <v>5084.7902000000004</v>
      </c>
      <c r="C311" s="52">
        <v>353.53699999999998</v>
      </c>
      <c r="D311" s="52">
        <v>0</v>
      </c>
      <c r="E311" s="52">
        <v>0</v>
      </c>
      <c r="F311" s="52">
        <v>1060.6111000000001</v>
      </c>
      <c r="G311" s="52">
        <v>353.53699999999998</v>
      </c>
      <c r="H311" s="52">
        <v>353.53699999999998</v>
      </c>
      <c r="I311" s="52">
        <v>707.07410000000004</v>
      </c>
      <c r="J311" s="52">
        <v>376.08229999999998</v>
      </c>
      <c r="K311" s="52">
        <v>1128.2470000000001</v>
      </c>
      <c r="L311" s="52">
        <v>376.08229999999998</v>
      </c>
      <c r="M311" s="52">
        <v>376.08229999999998</v>
      </c>
      <c r="N311" s="5" t="s">
        <v>69</v>
      </c>
    </row>
    <row r="312" spans="1:14" x14ac:dyDescent="0.25">
      <c r="A312" s="51">
        <v>1.101</v>
      </c>
      <c r="B312" s="52">
        <v>5087.3613999999998</v>
      </c>
      <c r="C312" s="52">
        <v>353.85840000000002</v>
      </c>
      <c r="D312" s="52">
        <v>0</v>
      </c>
      <c r="E312" s="52">
        <v>0</v>
      </c>
      <c r="F312" s="52">
        <v>1061.5753</v>
      </c>
      <c r="G312" s="52">
        <v>353.85840000000002</v>
      </c>
      <c r="H312" s="52">
        <v>353.85840000000002</v>
      </c>
      <c r="I312" s="52">
        <v>707.71690000000001</v>
      </c>
      <c r="J312" s="52">
        <v>376.08229999999998</v>
      </c>
      <c r="K312" s="52">
        <v>1128.2470000000001</v>
      </c>
      <c r="L312" s="52">
        <v>376.08229999999998</v>
      </c>
      <c r="M312" s="52">
        <v>376.08229999999998</v>
      </c>
      <c r="N312" s="5" t="s">
        <v>69</v>
      </c>
    </row>
    <row r="313" spans="1:14" x14ac:dyDescent="0.25">
      <c r="A313" s="51">
        <v>1.1020000000000001</v>
      </c>
      <c r="B313" s="52">
        <v>5089.9326000000001</v>
      </c>
      <c r="C313" s="52">
        <v>354.1798</v>
      </c>
      <c r="D313" s="52">
        <v>0</v>
      </c>
      <c r="E313" s="52">
        <v>0</v>
      </c>
      <c r="F313" s="52">
        <v>1062.5395000000001</v>
      </c>
      <c r="G313" s="52">
        <v>354.1798</v>
      </c>
      <c r="H313" s="52">
        <v>354.1798</v>
      </c>
      <c r="I313" s="52">
        <v>708.35969999999998</v>
      </c>
      <c r="J313" s="52">
        <v>376.08229999999998</v>
      </c>
      <c r="K313" s="52">
        <v>1128.2470000000001</v>
      </c>
      <c r="L313" s="52">
        <v>376.08229999999998</v>
      </c>
      <c r="M313" s="52">
        <v>376.08229999999998</v>
      </c>
      <c r="N313" s="5" t="s">
        <v>69</v>
      </c>
    </row>
    <row r="314" spans="1:14" x14ac:dyDescent="0.25">
      <c r="A314" s="51">
        <v>1.103</v>
      </c>
      <c r="B314" s="52">
        <v>5092.5038000000004</v>
      </c>
      <c r="C314" s="52">
        <v>354.50119999999998</v>
      </c>
      <c r="D314" s="52">
        <v>0</v>
      </c>
      <c r="E314" s="52">
        <v>0</v>
      </c>
      <c r="F314" s="52">
        <v>1063.5037</v>
      </c>
      <c r="G314" s="52">
        <v>354.50119999999998</v>
      </c>
      <c r="H314" s="52">
        <v>354.50119999999998</v>
      </c>
      <c r="I314" s="52">
        <v>709.00239999999997</v>
      </c>
      <c r="J314" s="52">
        <v>376.08229999999998</v>
      </c>
      <c r="K314" s="52">
        <v>1128.2470000000001</v>
      </c>
      <c r="L314" s="52">
        <v>376.08229999999998</v>
      </c>
      <c r="M314" s="52">
        <v>376.08229999999998</v>
      </c>
      <c r="N314" s="5" t="s">
        <v>69</v>
      </c>
    </row>
    <row r="315" spans="1:14" x14ac:dyDescent="0.25">
      <c r="A315" s="51">
        <v>1.1040000000000001</v>
      </c>
      <c r="B315" s="52">
        <v>5095.0749999999998</v>
      </c>
      <c r="C315" s="52">
        <v>354.82260000000002</v>
      </c>
      <c r="D315" s="52">
        <v>0</v>
      </c>
      <c r="E315" s="52">
        <v>0</v>
      </c>
      <c r="F315" s="52">
        <v>1064.4679000000001</v>
      </c>
      <c r="G315" s="52">
        <v>354.82260000000002</v>
      </c>
      <c r="H315" s="52">
        <v>354.82260000000002</v>
      </c>
      <c r="I315" s="52">
        <v>709.64520000000005</v>
      </c>
      <c r="J315" s="52">
        <v>376.08229999999998</v>
      </c>
      <c r="K315" s="52">
        <v>1128.2470000000001</v>
      </c>
      <c r="L315" s="52">
        <v>376.08229999999998</v>
      </c>
      <c r="M315" s="52">
        <v>376.08229999999998</v>
      </c>
      <c r="N315" s="5" t="s">
        <v>69</v>
      </c>
    </row>
    <row r="316" spans="1:14" x14ac:dyDescent="0.25">
      <c r="A316" s="51">
        <v>1.105</v>
      </c>
      <c r="B316" s="52">
        <v>5097.6460999999999</v>
      </c>
      <c r="C316" s="52">
        <v>355.14400000000001</v>
      </c>
      <c r="D316" s="52">
        <v>0</v>
      </c>
      <c r="E316" s="52">
        <v>0</v>
      </c>
      <c r="F316" s="52">
        <v>1065.4321</v>
      </c>
      <c r="G316" s="52">
        <v>355.14400000000001</v>
      </c>
      <c r="H316" s="52">
        <v>355.14400000000001</v>
      </c>
      <c r="I316" s="52">
        <v>710.28800000000001</v>
      </c>
      <c r="J316" s="52">
        <v>376.08229999999998</v>
      </c>
      <c r="K316" s="52">
        <v>1128.2470000000001</v>
      </c>
      <c r="L316" s="52">
        <v>376.08229999999998</v>
      </c>
      <c r="M316" s="52">
        <v>376.08229999999998</v>
      </c>
      <c r="N316" s="5" t="s">
        <v>69</v>
      </c>
    </row>
    <row r="317" spans="1:14" x14ac:dyDescent="0.25">
      <c r="A317" s="51">
        <v>1.1060000000000001</v>
      </c>
      <c r="B317" s="52">
        <v>5100.2173000000003</v>
      </c>
      <c r="C317" s="52">
        <v>355.46539999999999</v>
      </c>
      <c r="D317" s="52">
        <v>0</v>
      </c>
      <c r="E317" s="52">
        <v>0</v>
      </c>
      <c r="F317" s="52">
        <v>1066.3961999999999</v>
      </c>
      <c r="G317" s="52">
        <v>355.46539999999999</v>
      </c>
      <c r="H317" s="52">
        <v>355.46539999999999</v>
      </c>
      <c r="I317" s="52">
        <v>710.93079999999998</v>
      </c>
      <c r="J317" s="52">
        <v>376.08229999999998</v>
      </c>
      <c r="K317" s="52">
        <v>1128.2470000000001</v>
      </c>
      <c r="L317" s="52">
        <v>376.08229999999998</v>
      </c>
      <c r="M317" s="52">
        <v>376.08229999999998</v>
      </c>
      <c r="N317" s="5" t="s">
        <v>69</v>
      </c>
    </row>
    <row r="318" spans="1:14" x14ac:dyDescent="0.25">
      <c r="A318" s="51">
        <v>1.107</v>
      </c>
      <c r="B318" s="52">
        <v>5102.7884999999997</v>
      </c>
      <c r="C318" s="52">
        <v>355.78680000000003</v>
      </c>
      <c r="D318" s="52">
        <v>0</v>
      </c>
      <c r="E318" s="52">
        <v>0</v>
      </c>
      <c r="F318" s="52">
        <v>1067.3604</v>
      </c>
      <c r="G318" s="52">
        <v>355.78680000000003</v>
      </c>
      <c r="H318" s="52">
        <v>355.78680000000003</v>
      </c>
      <c r="I318" s="52">
        <v>711.57360000000006</v>
      </c>
      <c r="J318" s="52">
        <v>376.08229999999998</v>
      </c>
      <c r="K318" s="52">
        <v>1128.2470000000001</v>
      </c>
      <c r="L318" s="52">
        <v>376.08229999999998</v>
      </c>
      <c r="M318" s="52">
        <v>376.08229999999998</v>
      </c>
      <c r="N318" s="5" t="s">
        <v>69</v>
      </c>
    </row>
    <row r="319" spans="1:14" x14ac:dyDescent="0.25">
      <c r="A319" s="51">
        <v>1.1080000000000001</v>
      </c>
      <c r="B319" s="52">
        <v>5105.3597</v>
      </c>
      <c r="C319" s="52">
        <v>356.10820000000001</v>
      </c>
      <c r="D319" s="52">
        <v>0</v>
      </c>
      <c r="E319" s="52">
        <v>0</v>
      </c>
      <c r="F319" s="52">
        <v>1068.3245999999999</v>
      </c>
      <c r="G319" s="52">
        <v>356.10820000000001</v>
      </c>
      <c r="H319" s="52">
        <v>356.10820000000001</v>
      </c>
      <c r="I319" s="52">
        <v>712.21640000000002</v>
      </c>
      <c r="J319" s="52">
        <v>376.08229999999998</v>
      </c>
      <c r="K319" s="52">
        <v>1128.2470000000001</v>
      </c>
      <c r="L319" s="52">
        <v>376.08229999999998</v>
      </c>
      <c r="M319" s="52">
        <v>376.08229999999998</v>
      </c>
      <c r="N319" s="5" t="s">
        <v>69</v>
      </c>
    </row>
    <row r="320" spans="1:14" x14ac:dyDescent="0.25">
      <c r="A320" s="51">
        <v>1.109</v>
      </c>
      <c r="B320" s="52">
        <v>5107.9309000000003</v>
      </c>
      <c r="C320" s="52">
        <v>356.42959999999999</v>
      </c>
      <c r="D320" s="52">
        <v>0</v>
      </c>
      <c r="E320" s="52">
        <v>0</v>
      </c>
      <c r="F320" s="52">
        <v>1069.2888</v>
      </c>
      <c r="G320" s="52">
        <v>356.42959999999999</v>
      </c>
      <c r="H320" s="52">
        <v>356.42959999999999</v>
      </c>
      <c r="I320" s="52">
        <v>712.85919999999999</v>
      </c>
      <c r="J320" s="52">
        <v>376.08229999999998</v>
      </c>
      <c r="K320" s="52">
        <v>1128.2470000000001</v>
      </c>
      <c r="L320" s="52">
        <v>376.08229999999998</v>
      </c>
      <c r="M320" s="52">
        <v>376.08229999999998</v>
      </c>
      <c r="N320" s="5" t="s">
        <v>69</v>
      </c>
    </row>
    <row r="321" spans="1:14" x14ac:dyDescent="0.25">
      <c r="A321" s="51">
        <v>1.1100000000000001</v>
      </c>
      <c r="B321" s="52">
        <v>6006.1334999999999</v>
      </c>
      <c r="C321" s="52">
        <v>468.70490000000001</v>
      </c>
      <c r="D321" s="52">
        <v>0</v>
      </c>
      <c r="E321" s="52">
        <v>0</v>
      </c>
      <c r="F321" s="52">
        <v>1406.1148000000001</v>
      </c>
      <c r="G321" s="52">
        <v>468.70490000000001</v>
      </c>
      <c r="H321" s="52">
        <v>468.70490000000001</v>
      </c>
      <c r="I321" s="52">
        <v>937.40989999999999</v>
      </c>
      <c r="J321" s="52">
        <v>376.08229999999998</v>
      </c>
      <c r="K321" s="52">
        <v>1128.2470000000001</v>
      </c>
      <c r="L321" s="52">
        <v>376.08229999999998</v>
      </c>
      <c r="M321" s="52">
        <v>376.08229999999998</v>
      </c>
      <c r="N321" s="5" t="s">
        <v>69</v>
      </c>
    </row>
    <row r="322" spans="1:14" x14ac:dyDescent="0.25">
      <c r="A322" s="51">
        <v>1.111</v>
      </c>
      <c r="B322" s="52">
        <v>6009.5114999999996</v>
      </c>
      <c r="C322" s="52">
        <v>469.12720000000002</v>
      </c>
      <c r="D322" s="52">
        <v>0</v>
      </c>
      <c r="E322" s="52">
        <v>0</v>
      </c>
      <c r="F322" s="52">
        <v>1407.3815999999999</v>
      </c>
      <c r="G322" s="52">
        <v>469.12720000000002</v>
      </c>
      <c r="H322" s="52">
        <v>469.12720000000002</v>
      </c>
      <c r="I322" s="52">
        <v>938.25440000000003</v>
      </c>
      <c r="J322" s="52">
        <v>376.08229999999998</v>
      </c>
      <c r="K322" s="52">
        <v>1128.2470000000001</v>
      </c>
      <c r="L322" s="52">
        <v>376.08229999999998</v>
      </c>
      <c r="M322" s="52">
        <v>376.08229999999998</v>
      </c>
      <c r="N322" s="5" t="s">
        <v>69</v>
      </c>
    </row>
    <row r="323" spans="1:14" x14ac:dyDescent="0.25">
      <c r="A323" s="51">
        <v>1.1120000000000001</v>
      </c>
      <c r="B323" s="52">
        <v>6012.8896000000004</v>
      </c>
      <c r="C323" s="52">
        <v>469.54939999999999</v>
      </c>
      <c r="D323" s="52">
        <v>0</v>
      </c>
      <c r="E323" s="52">
        <v>0</v>
      </c>
      <c r="F323" s="52">
        <v>1408.6483000000001</v>
      </c>
      <c r="G323" s="52">
        <v>469.54939999999999</v>
      </c>
      <c r="H323" s="52">
        <v>469.54939999999999</v>
      </c>
      <c r="I323" s="52">
        <v>939.09889999999996</v>
      </c>
      <c r="J323" s="52">
        <v>376.08229999999998</v>
      </c>
      <c r="K323" s="52">
        <v>1128.2470000000001</v>
      </c>
      <c r="L323" s="52">
        <v>376.08229999999998</v>
      </c>
      <c r="M323" s="52">
        <v>376.08229999999998</v>
      </c>
      <c r="N323" s="5" t="s">
        <v>69</v>
      </c>
    </row>
    <row r="324" spans="1:14" x14ac:dyDescent="0.25">
      <c r="A324" s="51">
        <v>1.113</v>
      </c>
      <c r="B324" s="52">
        <v>6016.2676000000001</v>
      </c>
      <c r="C324" s="52">
        <v>469.9717</v>
      </c>
      <c r="D324" s="52">
        <v>0</v>
      </c>
      <c r="E324" s="52">
        <v>0</v>
      </c>
      <c r="F324" s="52">
        <v>1409.9150999999999</v>
      </c>
      <c r="G324" s="52">
        <v>469.9717</v>
      </c>
      <c r="H324" s="52">
        <v>469.9717</v>
      </c>
      <c r="I324" s="52">
        <v>939.9434</v>
      </c>
      <c r="J324" s="52">
        <v>376.08229999999998</v>
      </c>
      <c r="K324" s="52">
        <v>1128.2470000000001</v>
      </c>
      <c r="L324" s="52">
        <v>376.08229999999998</v>
      </c>
      <c r="M324" s="52">
        <v>376.08229999999998</v>
      </c>
      <c r="N324" s="5" t="s">
        <v>69</v>
      </c>
    </row>
    <row r="325" spans="1:14" x14ac:dyDescent="0.25">
      <c r="A325" s="51">
        <v>1.1140000000000001</v>
      </c>
      <c r="B325" s="52">
        <v>6019.6457</v>
      </c>
      <c r="C325" s="52">
        <v>470.39400000000001</v>
      </c>
      <c r="D325" s="52">
        <v>0</v>
      </c>
      <c r="E325" s="52">
        <v>0</v>
      </c>
      <c r="F325" s="52">
        <v>1411.1819</v>
      </c>
      <c r="G325" s="52">
        <v>470.39400000000001</v>
      </c>
      <c r="H325" s="52">
        <v>470.39400000000001</v>
      </c>
      <c r="I325" s="52">
        <v>940.78790000000004</v>
      </c>
      <c r="J325" s="52">
        <v>376.08229999999998</v>
      </c>
      <c r="K325" s="52">
        <v>1128.2470000000001</v>
      </c>
      <c r="L325" s="52">
        <v>376.08229999999998</v>
      </c>
      <c r="M325" s="52">
        <v>376.08229999999998</v>
      </c>
      <c r="N325" s="5" t="s">
        <v>69</v>
      </c>
    </row>
    <row r="326" spans="1:14" x14ac:dyDescent="0.25">
      <c r="A326" s="51">
        <v>1.115</v>
      </c>
      <c r="B326" s="52">
        <v>6023.0236999999997</v>
      </c>
      <c r="C326" s="52">
        <v>470.81619999999998</v>
      </c>
      <c r="D326" s="52">
        <v>0</v>
      </c>
      <c r="E326" s="52">
        <v>0</v>
      </c>
      <c r="F326" s="52">
        <v>1412.4486999999999</v>
      </c>
      <c r="G326" s="52">
        <v>470.81619999999998</v>
      </c>
      <c r="H326" s="52">
        <v>470.81619999999998</v>
      </c>
      <c r="I326" s="52">
        <v>941.63239999999996</v>
      </c>
      <c r="J326" s="52">
        <v>376.08229999999998</v>
      </c>
      <c r="K326" s="52">
        <v>1128.2470000000001</v>
      </c>
      <c r="L326" s="52">
        <v>376.08229999999998</v>
      </c>
      <c r="M326" s="52">
        <v>376.08229999999998</v>
      </c>
      <c r="N326" s="5" t="s">
        <v>69</v>
      </c>
    </row>
    <row r="327" spans="1:14" x14ac:dyDescent="0.25">
      <c r="A327" s="51">
        <v>1.1160000000000001</v>
      </c>
      <c r="B327" s="52">
        <v>6026.4017999999996</v>
      </c>
      <c r="C327" s="52">
        <v>471.23849999999999</v>
      </c>
      <c r="D327" s="52">
        <v>0</v>
      </c>
      <c r="E327" s="52">
        <v>0</v>
      </c>
      <c r="F327" s="52">
        <v>1413.7154</v>
      </c>
      <c r="G327" s="52">
        <v>471.23849999999999</v>
      </c>
      <c r="H327" s="52">
        <v>471.23849999999999</v>
      </c>
      <c r="I327" s="52">
        <v>942.4769</v>
      </c>
      <c r="J327" s="52">
        <v>376.08229999999998</v>
      </c>
      <c r="K327" s="52">
        <v>1128.2470000000001</v>
      </c>
      <c r="L327" s="52">
        <v>376.08229999999998</v>
      </c>
      <c r="M327" s="52">
        <v>376.08229999999998</v>
      </c>
      <c r="N327" s="5" t="s">
        <v>69</v>
      </c>
    </row>
    <row r="328" spans="1:14" x14ac:dyDescent="0.25">
      <c r="A328" s="51">
        <v>1.117</v>
      </c>
      <c r="B328" s="52">
        <v>6029.7798000000003</v>
      </c>
      <c r="C328" s="52">
        <v>471.66070000000002</v>
      </c>
      <c r="D328" s="52">
        <v>0</v>
      </c>
      <c r="E328" s="52">
        <v>0</v>
      </c>
      <c r="F328" s="52">
        <v>1414.9821999999999</v>
      </c>
      <c r="G328" s="52">
        <v>471.66070000000002</v>
      </c>
      <c r="H328" s="52">
        <v>471.66070000000002</v>
      </c>
      <c r="I328" s="52">
        <v>943.32150000000001</v>
      </c>
      <c r="J328" s="52">
        <v>376.08229999999998</v>
      </c>
      <c r="K328" s="52">
        <v>1128.2470000000001</v>
      </c>
      <c r="L328" s="52">
        <v>376.08229999999998</v>
      </c>
      <c r="M328" s="52">
        <v>376.08229999999998</v>
      </c>
      <c r="N328" s="5" t="s">
        <v>69</v>
      </c>
    </row>
    <row r="329" spans="1:14" x14ac:dyDescent="0.25">
      <c r="A329" s="51">
        <v>1.1180000000000001</v>
      </c>
      <c r="B329" s="52">
        <v>6033.1579000000002</v>
      </c>
      <c r="C329" s="52">
        <v>472.08300000000003</v>
      </c>
      <c r="D329" s="52">
        <v>0</v>
      </c>
      <c r="E329" s="52">
        <v>0</v>
      </c>
      <c r="F329" s="52">
        <v>1416.249</v>
      </c>
      <c r="G329" s="52">
        <v>472.08300000000003</v>
      </c>
      <c r="H329" s="52">
        <v>472.08300000000003</v>
      </c>
      <c r="I329" s="52">
        <v>944.16600000000005</v>
      </c>
      <c r="J329" s="52">
        <v>376.08229999999998</v>
      </c>
      <c r="K329" s="52">
        <v>1128.2470000000001</v>
      </c>
      <c r="L329" s="52">
        <v>376.08229999999998</v>
      </c>
      <c r="M329" s="52">
        <v>376.08229999999998</v>
      </c>
      <c r="N329" s="5" t="s">
        <v>69</v>
      </c>
    </row>
    <row r="330" spans="1:14" x14ac:dyDescent="0.25">
      <c r="A330" s="51">
        <v>1.119</v>
      </c>
      <c r="B330" s="52">
        <v>6036.5358999999999</v>
      </c>
      <c r="C330" s="52">
        <v>472.5052</v>
      </c>
      <c r="D330" s="52">
        <v>0</v>
      </c>
      <c r="E330" s="52">
        <v>0</v>
      </c>
      <c r="F330" s="52">
        <v>1417.5156999999999</v>
      </c>
      <c r="G330" s="52">
        <v>472.5052</v>
      </c>
      <c r="H330" s="52">
        <v>472.5052</v>
      </c>
      <c r="I330" s="52">
        <v>945.01049999999998</v>
      </c>
      <c r="J330" s="52">
        <v>376.08229999999998</v>
      </c>
      <c r="K330" s="52">
        <v>1128.2470000000001</v>
      </c>
      <c r="L330" s="52">
        <v>376.08229999999998</v>
      </c>
      <c r="M330" s="52">
        <v>376.08229999999998</v>
      </c>
      <c r="N330" s="5" t="s">
        <v>69</v>
      </c>
    </row>
    <row r="331" spans="1:14" x14ac:dyDescent="0.25">
      <c r="A331" s="51">
        <v>1.1200000000000001</v>
      </c>
      <c r="B331" s="52">
        <v>6039.9139999999998</v>
      </c>
      <c r="C331" s="52">
        <v>472.92750000000001</v>
      </c>
      <c r="D331" s="52">
        <v>0</v>
      </c>
      <c r="E331" s="52">
        <v>0</v>
      </c>
      <c r="F331" s="52">
        <v>1418.7825</v>
      </c>
      <c r="G331" s="52">
        <v>472.92750000000001</v>
      </c>
      <c r="H331" s="52">
        <v>472.92750000000001</v>
      </c>
      <c r="I331" s="52">
        <v>945.85500000000002</v>
      </c>
      <c r="J331" s="52">
        <v>376.08229999999998</v>
      </c>
      <c r="K331" s="52">
        <v>1128.2470000000001</v>
      </c>
      <c r="L331" s="52">
        <v>376.08229999999998</v>
      </c>
      <c r="M331" s="52">
        <v>376.08229999999998</v>
      </c>
      <c r="N331" s="5" t="s">
        <v>69</v>
      </c>
    </row>
    <row r="332" spans="1:14" x14ac:dyDescent="0.25">
      <c r="A332" s="51">
        <v>1.121</v>
      </c>
      <c r="B332" s="52">
        <v>6043.2920999999997</v>
      </c>
      <c r="C332" s="52">
        <v>473.34980000000002</v>
      </c>
      <c r="D332" s="52">
        <v>0</v>
      </c>
      <c r="E332" s="52">
        <v>0</v>
      </c>
      <c r="F332" s="52">
        <v>1420.0492999999999</v>
      </c>
      <c r="G332" s="52">
        <v>473.34980000000002</v>
      </c>
      <c r="H332" s="52">
        <v>473.34980000000002</v>
      </c>
      <c r="I332" s="52">
        <v>946.69949999999994</v>
      </c>
      <c r="J332" s="52">
        <v>376.08229999999998</v>
      </c>
      <c r="K332" s="52">
        <v>1128.2470000000001</v>
      </c>
      <c r="L332" s="52">
        <v>376.08229999999998</v>
      </c>
      <c r="M332" s="52">
        <v>376.08229999999998</v>
      </c>
      <c r="N332" s="5" t="s">
        <v>69</v>
      </c>
    </row>
    <row r="333" spans="1:14" x14ac:dyDescent="0.25">
      <c r="A333" s="51">
        <v>1.1220000000000001</v>
      </c>
      <c r="B333" s="52">
        <v>6046.6701000000003</v>
      </c>
      <c r="C333" s="52">
        <v>473.77199999999999</v>
      </c>
      <c r="D333" s="52">
        <v>0</v>
      </c>
      <c r="E333" s="52">
        <v>0</v>
      </c>
      <c r="F333" s="52">
        <v>1421.316</v>
      </c>
      <c r="G333" s="52">
        <v>473.77199999999999</v>
      </c>
      <c r="H333" s="52">
        <v>473.77199999999999</v>
      </c>
      <c r="I333" s="52">
        <v>947.54399999999998</v>
      </c>
      <c r="J333" s="52">
        <v>376.08229999999998</v>
      </c>
      <c r="K333" s="52">
        <v>1128.2470000000001</v>
      </c>
      <c r="L333" s="52">
        <v>376.08229999999998</v>
      </c>
      <c r="M333" s="52">
        <v>376.08229999999998</v>
      </c>
      <c r="N333" s="5" t="s">
        <v>69</v>
      </c>
    </row>
    <row r="334" spans="1:14" x14ac:dyDescent="0.25">
      <c r="A334" s="51">
        <v>1.123</v>
      </c>
      <c r="B334" s="52">
        <v>6050.0482000000002</v>
      </c>
      <c r="C334" s="52">
        <v>474.1943</v>
      </c>
      <c r="D334" s="52">
        <v>0</v>
      </c>
      <c r="E334" s="52">
        <v>0</v>
      </c>
      <c r="F334" s="52">
        <v>1422.5827999999999</v>
      </c>
      <c r="G334" s="52">
        <v>474.1943</v>
      </c>
      <c r="H334" s="52">
        <v>474.1943</v>
      </c>
      <c r="I334" s="52">
        <v>948.38850000000002</v>
      </c>
      <c r="J334" s="52">
        <v>376.08229999999998</v>
      </c>
      <c r="K334" s="52">
        <v>1128.2470000000001</v>
      </c>
      <c r="L334" s="52">
        <v>376.08229999999998</v>
      </c>
      <c r="M334" s="52">
        <v>376.08229999999998</v>
      </c>
      <c r="N334" s="5" t="s">
        <v>69</v>
      </c>
    </row>
    <row r="335" spans="1:14" x14ac:dyDescent="0.25">
      <c r="A335" s="51">
        <v>1.1240000000000001</v>
      </c>
      <c r="B335" s="52">
        <v>6053.4261999999999</v>
      </c>
      <c r="C335" s="52">
        <v>474.61649999999997</v>
      </c>
      <c r="D335" s="52">
        <v>0</v>
      </c>
      <c r="E335" s="52">
        <v>0</v>
      </c>
      <c r="F335" s="52">
        <v>1423.8496</v>
      </c>
      <c r="G335" s="52">
        <v>474.61649999999997</v>
      </c>
      <c r="H335" s="52">
        <v>474.61649999999997</v>
      </c>
      <c r="I335" s="52">
        <v>949.23310000000004</v>
      </c>
      <c r="J335" s="52">
        <v>376.08229999999998</v>
      </c>
      <c r="K335" s="52">
        <v>1128.2470000000001</v>
      </c>
      <c r="L335" s="52">
        <v>376.08229999999998</v>
      </c>
      <c r="M335" s="52">
        <v>376.08229999999998</v>
      </c>
      <c r="N335" s="5" t="s">
        <v>69</v>
      </c>
    </row>
    <row r="336" spans="1:14" x14ac:dyDescent="0.25">
      <c r="A336" s="51">
        <v>1.125</v>
      </c>
      <c r="B336" s="52">
        <v>6056.8042999999998</v>
      </c>
      <c r="C336" s="52">
        <v>475.03879999999998</v>
      </c>
      <c r="D336" s="52">
        <v>0</v>
      </c>
      <c r="E336" s="52">
        <v>0</v>
      </c>
      <c r="F336" s="52">
        <v>1425.1164000000001</v>
      </c>
      <c r="G336" s="52">
        <v>475.03879999999998</v>
      </c>
      <c r="H336" s="52">
        <v>475.03879999999998</v>
      </c>
      <c r="I336" s="52">
        <v>950.07759999999996</v>
      </c>
      <c r="J336" s="52">
        <v>376.08229999999998</v>
      </c>
      <c r="K336" s="52">
        <v>1128.2470000000001</v>
      </c>
      <c r="L336" s="52">
        <v>376.08229999999998</v>
      </c>
      <c r="M336" s="52">
        <v>376.08229999999998</v>
      </c>
      <c r="N336" s="5" t="s">
        <v>69</v>
      </c>
    </row>
    <row r="337" spans="1:14" x14ac:dyDescent="0.25">
      <c r="A337" s="51">
        <v>1.1259999999999999</v>
      </c>
      <c r="B337" s="52">
        <v>6060.1823000000004</v>
      </c>
      <c r="C337" s="52">
        <v>475.46100000000001</v>
      </c>
      <c r="D337" s="52">
        <v>0</v>
      </c>
      <c r="E337" s="52">
        <v>0</v>
      </c>
      <c r="F337" s="52">
        <v>1426.3831</v>
      </c>
      <c r="G337" s="52">
        <v>475.46100000000001</v>
      </c>
      <c r="H337" s="52">
        <v>475.46100000000001</v>
      </c>
      <c r="I337" s="52">
        <v>950.9221</v>
      </c>
      <c r="J337" s="52">
        <v>376.08229999999998</v>
      </c>
      <c r="K337" s="52">
        <v>1128.2470000000001</v>
      </c>
      <c r="L337" s="52">
        <v>376.08229999999998</v>
      </c>
      <c r="M337" s="52">
        <v>376.08229999999998</v>
      </c>
      <c r="N337" s="5" t="s">
        <v>69</v>
      </c>
    </row>
    <row r="338" spans="1:14" x14ac:dyDescent="0.25">
      <c r="A338" s="51">
        <v>1.127</v>
      </c>
      <c r="B338" s="52">
        <v>6063.5604000000003</v>
      </c>
      <c r="C338" s="52">
        <v>475.88330000000002</v>
      </c>
      <c r="D338" s="52">
        <v>0</v>
      </c>
      <c r="E338" s="52">
        <v>0</v>
      </c>
      <c r="F338" s="52">
        <v>1427.6498999999999</v>
      </c>
      <c r="G338" s="52">
        <v>475.88330000000002</v>
      </c>
      <c r="H338" s="52">
        <v>475.88330000000002</v>
      </c>
      <c r="I338" s="52">
        <v>951.76660000000004</v>
      </c>
      <c r="J338" s="52">
        <v>376.08229999999998</v>
      </c>
      <c r="K338" s="52">
        <v>1128.2470000000001</v>
      </c>
      <c r="L338" s="52">
        <v>376.08229999999998</v>
      </c>
      <c r="M338" s="52">
        <v>376.08229999999998</v>
      </c>
      <c r="N338" s="5" t="s">
        <v>69</v>
      </c>
    </row>
    <row r="339" spans="1:14" x14ac:dyDescent="0.25">
      <c r="A339" s="51">
        <v>1.1279999999999999</v>
      </c>
      <c r="B339" s="52">
        <v>6066.9384</v>
      </c>
      <c r="C339" s="52">
        <v>476.30560000000003</v>
      </c>
      <c r="D339" s="52">
        <v>0</v>
      </c>
      <c r="E339" s="52">
        <v>0</v>
      </c>
      <c r="F339" s="52">
        <v>1428.9167</v>
      </c>
      <c r="G339" s="52">
        <v>476.30560000000003</v>
      </c>
      <c r="H339" s="52">
        <v>476.30560000000003</v>
      </c>
      <c r="I339" s="52">
        <v>952.61109999999996</v>
      </c>
      <c r="J339" s="52">
        <v>376.08229999999998</v>
      </c>
      <c r="K339" s="52">
        <v>1128.2470000000001</v>
      </c>
      <c r="L339" s="52">
        <v>376.08229999999998</v>
      </c>
      <c r="M339" s="52">
        <v>376.08229999999998</v>
      </c>
      <c r="N339" s="5" t="s">
        <v>69</v>
      </c>
    </row>
    <row r="340" spans="1:14" x14ac:dyDescent="0.25">
      <c r="A340" s="51">
        <v>1.129</v>
      </c>
      <c r="B340" s="52">
        <v>6070.3164999999999</v>
      </c>
      <c r="C340" s="52">
        <v>476.7278</v>
      </c>
      <c r="D340" s="52">
        <v>0</v>
      </c>
      <c r="E340" s="52">
        <v>0</v>
      </c>
      <c r="F340" s="52">
        <v>1430.1833999999999</v>
      </c>
      <c r="G340" s="52">
        <v>476.7278</v>
      </c>
      <c r="H340" s="52">
        <v>476.7278</v>
      </c>
      <c r="I340" s="52">
        <v>953.4556</v>
      </c>
      <c r="J340" s="52">
        <v>376.08229999999998</v>
      </c>
      <c r="K340" s="52">
        <v>1128.2470000000001</v>
      </c>
      <c r="L340" s="52">
        <v>376.08229999999998</v>
      </c>
      <c r="M340" s="52">
        <v>376.08229999999998</v>
      </c>
      <c r="N340" s="5" t="s">
        <v>69</v>
      </c>
    </row>
    <row r="341" spans="1:14" x14ac:dyDescent="0.25">
      <c r="A341" s="51">
        <v>1.1299999999999999</v>
      </c>
      <c r="B341" s="52">
        <v>6073.6944999999996</v>
      </c>
      <c r="C341" s="52">
        <v>477.15010000000001</v>
      </c>
      <c r="D341" s="52">
        <v>0</v>
      </c>
      <c r="E341" s="52">
        <v>0</v>
      </c>
      <c r="F341" s="52">
        <v>1431.4502</v>
      </c>
      <c r="G341" s="52">
        <v>477.15010000000001</v>
      </c>
      <c r="H341" s="52">
        <v>477.15010000000001</v>
      </c>
      <c r="I341" s="52">
        <v>954.30010000000004</v>
      </c>
      <c r="J341" s="52">
        <v>376.08229999999998</v>
      </c>
      <c r="K341" s="52">
        <v>1128.2470000000001</v>
      </c>
      <c r="L341" s="52">
        <v>376.08229999999998</v>
      </c>
      <c r="M341" s="52">
        <v>376.08229999999998</v>
      </c>
      <c r="N341" s="5" t="s">
        <v>69</v>
      </c>
    </row>
    <row r="342" spans="1:14" x14ac:dyDescent="0.25">
      <c r="A342" s="51">
        <v>1.131</v>
      </c>
      <c r="B342" s="52">
        <v>6077.0726000000004</v>
      </c>
      <c r="C342" s="52">
        <v>477.57229999999998</v>
      </c>
      <c r="D342" s="52">
        <v>0</v>
      </c>
      <c r="E342" s="52">
        <v>0</v>
      </c>
      <c r="F342" s="52">
        <v>1432.7170000000001</v>
      </c>
      <c r="G342" s="52">
        <v>477.57229999999998</v>
      </c>
      <c r="H342" s="52">
        <v>477.57229999999998</v>
      </c>
      <c r="I342" s="52">
        <v>955.14459999999997</v>
      </c>
      <c r="J342" s="52">
        <v>376.08229999999998</v>
      </c>
      <c r="K342" s="52">
        <v>1128.2470000000001</v>
      </c>
      <c r="L342" s="52">
        <v>376.08229999999998</v>
      </c>
      <c r="M342" s="52">
        <v>376.08229999999998</v>
      </c>
      <c r="N342" s="5" t="s">
        <v>69</v>
      </c>
    </row>
    <row r="343" spans="1:14" x14ac:dyDescent="0.25">
      <c r="A343" s="51">
        <v>1.1319999999999999</v>
      </c>
      <c r="B343" s="52">
        <v>6080.4506000000001</v>
      </c>
      <c r="C343" s="52">
        <v>477.99459999999999</v>
      </c>
      <c r="D343" s="52">
        <v>0</v>
      </c>
      <c r="E343" s="52">
        <v>0</v>
      </c>
      <c r="F343" s="52">
        <v>1433.9837</v>
      </c>
      <c r="G343" s="52">
        <v>477.99459999999999</v>
      </c>
      <c r="H343" s="52">
        <v>477.99459999999999</v>
      </c>
      <c r="I343" s="52">
        <v>955.98919999999998</v>
      </c>
      <c r="J343" s="52">
        <v>376.08229999999998</v>
      </c>
      <c r="K343" s="52">
        <v>1128.2470000000001</v>
      </c>
      <c r="L343" s="52">
        <v>376.08229999999998</v>
      </c>
      <c r="M343" s="52">
        <v>376.08229999999998</v>
      </c>
      <c r="N343" s="5" t="s">
        <v>69</v>
      </c>
    </row>
    <row r="344" spans="1:14" x14ac:dyDescent="0.25">
      <c r="A344" s="51">
        <v>1.133</v>
      </c>
      <c r="B344" s="52">
        <v>6083.8287</v>
      </c>
      <c r="C344" s="52">
        <v>478.41680000000002</v>
      </c>
      <c r="D344" s="52">
        <v>0</v>
      </c>
      <c r="E344" s="52">
        <v>0</v>
      </c>
      <c r="F344" s="52">
        <v>1435.2505000000001</v>
      </c>
      <c r="G344" s="52">
        <v>478.41680000000002</v>
      </c>
      <c r="H344" s="52">
        <v>478.41680000000002</v>
      </c>
      <c r="I344" s="52">
        <v>956.83370000000002</v>
      </c>
      <c r="J344" s="52">
        <v>376.08229999999998</v>
      </c>
      <c r="K344" s="52">
        <v>1128.2470000000001</v>
      </c>
      <c r="L344" s="52">
        <v>376.08229999999998</v>
      </c>
      <c r="M344" s="52">
        <v>376.08229999999998</v>
      </c>
      <c r="N344" s="5" t="s">
        <v>69</v>
      </c>
    </row>
    <row r="345" spans="1:14" x14ac:dyDescent="0.25">
      <c r="A345" s="51">
        <v>1.1339999999999999</v>
      </c>
      <c r="B345" s="52">
        <v>6087.2066999999997</v>
      </c>
      <c r="C345" s="52">
        <v>478.83909999999997</v>
      </c>
      <c r="D345" s="52">
        <v>0</v>
      </c>
      <c r="E345" s="52">
        <v>0</v>
      </c>
      <c r="F345" s="52">
        <v>1436.5173</v>
      </c>
      <c r="G345" s="52">
        <v>478.83909999999997</v>
      </c>
      <c r="H345" s="52">
        <v>478.83909999999997</v>
      </c>
      <c r="I345" s="52">
        <v>957.67819999999995</v>
      </c>
      <c r="J345" s="52">
        <v>376.08229999999998</v>
      </c>
      <c r="K345" s="52">
        <v>1128.2470000000001</v>
      </c>
      <c r="L345" s="52">
        <v>376.08229999999998</v>
      </c>
      <c r="M345" s="52">
        <v>376.08229999999998</v>
      </c>
      <c r="N345" s="5" t="s">
        <v>69</v>
      </c>
    </row>
    <row r="346" spans="1:14" x14ac:dyDescent="0.25">
      <c r="A346" s="51">
        <v>1.135</v>
      </c>
      <c r="B346" s="52">
        <v>6090.5847999999996</v>
      </c>
      <c r="C346" s="52">
        <v>479.26139999999998</v>
      </c>
      <c r="D346" s="52">
        <v>0</v>
      </c>
      <c r="E346" s="52">
        <v>0</v>
      </c>
      <c r="F346" s="52">
        <v>1437.7841000000001</v>
      </c>
      <c r="G346" s="52">
        <v>479.26139999999998</v>
      </c>
      <c r="H346" s="52">
        <v>479.26139999999998</v>
      </c>
      <c r="I346" s="52">
        <v>958.52269999999999</v>
      </c>
      <c r="J346" s="52">
        <v>376.08229999999998</v>
      </c>
      <c r="K346" s="52">
        <v>1128.2470000000001</v>
      </c>
      <c r="L346" s="52">
        <v>376.08229999999998</v>
      </c>
      <c r="M346" s="52">
        <v>376.08229999999998</v>
      </c>
      <c r="N346" s="5" t="s">
        <v>69</v>
      </c>
    </row>
    <row r="347" spans="1:14" x14ac:dyDescent="0.25">
      <c r="A347" s="51">
        <v>1.1359999999999999</v>
      </c>
      <c r="B347" s="52">
        <v>6093.9629000000004</v>
      </c>
      <c r="C347" s="52">
        <v>479.68360000000001</v>
      </c>
      <c r="D347" s="52">
        <v>0</v>
      </c>
      <c r="E347" s="52">
        <v>0</v>
      </c>
      <c r="F347" s="52">
        <v>1439.0508</v>
      </c>
      <c r="G347" s="52">
        <v>479.68360000000001</v>
      </c>
      <c r="H347" s="52">
        <v>479.68360000000001</v>
      </c>
      <c r="I347" s="52">
        <v>959.36720000000003</v>
      </c>
      <c r="J347" s="52">
        <v>376.08229999999998</v>
      </c>
      <c r="K347" s="52">
        <v>1128.2470000000001</v>
      </c>
      <c r="L347" s="52">
        <v>376.08229999999998</v>
      </c>
      <c r="M347" s="52">
        <v>376.08229999999998</v>
      </c>
      <c r="N347" s="5" t="s">
        <v>69</v>
      </c>
    </row>
    <row r="348" spans="1:14" x14ac:dyDescent="0.25">
      <c r="A348" s="51">
        <v>1.137</v>
      </c>
      <c r="B348" s="52">
        <v>6097.3409000000001</v>
      </c>
      <c r="C348" s="52">
        <v>480.10590000000002</v>
      </c>
      <c r="D348" s="52">
        <v>0</v>
      </c>
      <c r="E348" s="52">
        <v>0</v>
      </c>
      <c r="F348" s="52">
        <v>1440.3176000000001</v>
      </c>
      <c r="G348" s="52">
        <v>480.10590000000002</v>
      </c>
      <c r="H348" s="52">
        <v>480.10590000000002</v>
      </c>
      <c r="I348" s="52">
        <v>960.21169999999995</v>
      </c>
      <c r="J348" s="52">
        <v>376.08229999999998</v>
      </c>
      <c r="K348" s="52">
        <v>1128.2470000000001</v>
      </c>
      <c r="L348" s="52">
        <v>376.08229999999998</v>
      </c>
      <c r="M348" s="52">
        <v>376.08229999999998</v>
      </c>
      <c r="N348" s="5" t="s">
        <v>69</v>
      </c>
    </row>
    <row r="349" spans="1:14" x14ac:dyDescent="0.25">
      <c r="A349" s="51">
        <v>1.1379999999999999</v>
      </c>
      <c r="B349" s="52">
        <v>6100.7190000000001</v>
      </c>
      <c r="C349" s="52">
        <v>480.52809999999999</v>
      </c>
      <c r="D349" s="52">
        <v>0</v>
      </c>
      <c r="E349" s="52">
        <v>0</v>
      </c>
      <c r="F349" s="52">
        <v>1441.5844</v>
      </c>
      <c r="G349" s="52">
        <v>480.52809999999999</v>
      </c>
      <c r="H349" s="52">
        <v>480.52809999999999</v>
      </c>
      <c r="I349" s="52">
        <v>961.05619999999999</v>
      </c>
      <c r="J349" s="52">
        <v>376.08229999999998</v>
      </c>
      <c r="K349" s="52">
        <v>1128.2470000000001</v>
      </c>
      <c r="L349" s="52">
        <v>376.08229999999998</v>
      </c>
      <c r="M349" s="52">
        <v>376.08229999999998</v>
      </c>
      <c r="N349" s="5" t="s">
        <v>69</v>
      </c>
    </row>
    <row r="350" spans="1:14" x14ac:dyDescent="0.25">
      <c r="A350" s="51">
        <v>1.139</v>
      </c>
      <c r="B350" s="52">
        <v>6104.0969999999998</v>
      </c>
      <c r="C350" s="52">
        <v>480.9504</v>
      </c>
      <c r="D350" s="52">
        <v>0</v>
      </c>
      <c r="E350" s="52">
        <v>0</v>
      </c>
      <c r="F350" s="52">
        <v>1442.8511000000001</v>
      </c>
      <c r="G350" s="52">
        <v>480.9504</v>
      </c>
      <c r="H350" s="52">
        <v>480.9504</v>
      </c>
      <c r="I350" s="52">
        <v>961.9008</v>
      </c>
      <c r="J350" s="52">
        <v>376.08229999999998</v>
      </c>
      <c r="K350" s="52">
        <v>1128.2470000000001</v>
      </c>
      <c r="L350" s="52">
        <v>376.08229999999998</v>
      </c>
      <c r="M350" s="52">
        <v>376.08229999999998</v>
      </c>
      <c r="N350" s="5" t="s">
        <v>69</v>
      </c>
    </row>
    <row r="351" spans="1:14" x14ac:dyDescent="0.25">
      <c r="A351" s="51">
        <v>1.1399999999999999</v>
      </c>
      <c r="B351" s="52">
        <v>6107.4750999999997</v>
      </c>
      <c r="C351" s="52">
        <v>481.37259999999998</v>
      </c>
      <c r="D351" s="52">
        <v>0</v>
      </c>
      <c r="E351" s="52">
        <v>0</v>
      </c>
      <c r="F351" s="52">
        <v>1444.1179</v>
      </c>
      <c r="G351" s="52">
        <v>481.37259999999998</v>
      </c>
      <c r="H351" s="52">
        <v>481.37259999999998</v>
      </c>
      <c r="I351" s="52">
        <v>962.74530000000004</v>
      </c>
      <c r="J351" s="52">
        <v>376.08229999999998</v>
      </c>
      <c r="K351" s="52">
        <v>1128.2470000000001</v>
      </c>
      <c r="L351" s="52">
        <v>376.08229999999998</v>
      </c>
      <c r="M351" s="52">
        <v>376.08229999999998</v>
      </c>
      <c r="N351" s="5" t="s">
        <v>69</v>
      </c>
    </row>
    <row r="352" spans="1:14" x14ac:dyDescent="0.25">
      <c r="A352" s="51">
        <v>1.141</v>
      </c>
      <c r="B352" s="52">
        <v>6110.8531000000003</v>
      </c>
      <c r="C352" s="52">
        <v>481.79489999999998</v>
      </c>
      <c r="D352" s="52">
        <v>0</v>
      </c>
      <c r="E352" s="52">
        <v>0</v>
      </c>
      <c r="F352" s="52">
        <v>1445.3847000000001</v>
      </c>
      <c r="G352" s="52">
        <v>481.79489999999998</v>
      </c>
      <c r="H352" s="52">
        <v>481.79489999999998</v>
      </c>
      <c r="I352" s="52">
        <v>963.58979999999997</v>
      </c>
      <c r="J352" s="52">
        <v>376.08229999999998</v>
      </c>
      <c r="K352" s="52">
        <v>1128.2470000000001</v>
      </c>
      <c r="L352" s="52">
        <v>376.08229999999998</v>
      </c>
      <c r="M352" s="52">
        <v>376.08229999999998</v>
      </c>
      <c r="N352" s="5" t="s">
        <v>69</v>
      </c>
    </row>
    <row r="353" spans="1:14" x14ac:dyDescent="0.25">
      <c r="A353" s="51">
        <v>1.1419999999999999</v>
      </c>
      <c r="B353" s="52">
        <v>6114.2312000000002</v>
      </c>
      <c r="C353" s="52">
        <v>482.21710000000002</v>
      </c>
      <c r="D353" s="52">
        <v>0</v>
      </c>
      <c r="E353" s="52">
        <v>0</v>
      </c>
      <c r="F353" s="52">
        <v>1446.6514</v>
      </c>
      <c r="G353" s="52">
        <v>482.21710000000002</v>
      </c>
      <c r="H353" s="52">
        <v>482.21710000000002</v>
      </c>
      <c r="I353" s="52">
        <v>964.43430000000001</v>
      </c>
      <c r="J353" s="52">
        <v>376.08229999999998</v>
      </c>
      <c r="K353" s="52">
        <v>1128.2470000000001</v>
      </c>
      <c r="L353" s="52">
        <v>376.08229999999998</v>
      </c>
      <c r="M353" s="52">
        <v>376.08229999999998</v>
      </c>
      <c r="N353" s="5" t="s">
        <v>69</v>
      </c>
    </row>
    <row r="354" spans="1:14" x14ac:dyDescent="0.25">
      <c r="A354" s="51">
        <v>1.143</v>
      </c>
      <c r="B354" s="52">
        <v>6117.6091999999999</v>
      </c>
      <c r="C354" s="52">
        <v>482.63940000000002</v>
      </c>
      <c r="D354" s="52">
        <v>0</v>
      </c>
      <c r="E354" s="52">
        <v>0</v>
      </c>
      <c r="F354" s="52">
        <v>1447.9182000000001</v>
      </c>
      <c r="G354" s="52">
        <v>482.63940000000002</v>
      </c>
      <c r="H354" s="52">
        <v>482.63940000000002</v>
      </c>
      <c r="I354" s="52">
        <v>965.27880000000005</v>
      </c>
      <c r="J354" s="52">
        <v>376.08229999999998</v>
      </c>
      <c r="K354" s="52">
        <v>1128.2470000000001</v>
      </c>
      <c r="L354" s="52">
        <v>376.08229999999998</v>
      </c>
      <c r="M354" s="52">
        <v>376.08229999999998</v>
      </c>
      <c r="N354" s="5" t="s">
        <v>69</v>
      </c>
    </row>
    <row r="355" spans="1:14" x14ac:dyDescent="0.25">
      <c r="A355" s="51">
        <v>1.1439999999999999</v>
      </c>
      <c r="B355" s="52">
        <v>6120.9872999999998</v>
      </c>
      <c r="C355" s="52">
        <v>483.06169999999997</v>
      </c>
      <c r="D355" s="52">
        <v>0</v>
      </c>
      <c r="E355" s="52">
        <v>0</v>
      </c>
      <c r="F355" s="52">
        <v>1449.1849999999999</v>
      </c>
      <c r="G355" s="52">
        <v>483.06169999999997</v>
      </c>
      <c r="H355" s="52">
        <v>483.06169999999997</v>
      </c>
      <c r="I355" s="52">
        <v>966.12329999999997</v>
      </c>
      <c r="J355" s="52">
        <v>376.08229999999998</v>
      </c>
      <c r="K355" s="52">
        <v>1128.2470000000001</v>
      </c>
      <c r="L355" s="52">
        <v>376.08229999999998</v>
      </c>
      <c r="M355" s="52">
        <v>376.08229999999998</v>
      </c>
      <c r="N355" s="5" t="s">
        <v>69</v>
      </c>
    </row>
    <row r="356" spans="1:14" x14ac:dyDescent="0.25">
      <c r="A356" s="51">
        <v>1.145</v>
      </c>
      <c r="B356" s="52">
        <v>6124.3653000000004</v>
      </c>
      <c r="C356" s="52">
        <v>483.48390000000001</v>
      </c>
      <c r="D356" s="52">
        <v>0</v>
      </c>
      <c r="E356" s="52">
        <v>0</v>
      </c>
      <c r="F356" s="52">
        <v>1450.4518</v>
      </c>
      <c r="G356" s="52">
        <v>483.48390000000001</v>
      </c>
      <c r="H356" s="52">
        <v>483.48390000000001</v>
      </c>
      <c r="I356" s="52">
        <v>966.96780000000001</v>
      </c>
      <c r="J356" s="52">
        <v>376.08229999999998</v>
      </c>
      <c r="K356" s="52">
        <v>1128.2470000000001</v>
      </c>
      <c r="L356" s="52">
        <v>376.08229999999998</v>
      </c>
      <c r="M356" s="52">
        <v>376.08229999999998</v>
      </c>
      <c r="N356" s="5" t="s">
        <v>69</v>
      </c>
    </row>
    <row r="357" spans="1:14" x14ac:dyDescent="0.25">
      <c r="A357" s="51">
        <v>1.1459999999999999</v>
      </c>
      <c r="B357" s="52">
        <v>6127.7434000000003</v>
      </c>
      <c r="C357" s="52">
        <v>483.90620000000001</v>
      </c>
      <c r="D357" s="52">
        <v>0</v>
      </c>
      <c r="E357" s="52">
        <v>0</v>
      </c>
      <c r="F357" s="52">
        <v>1451.7184999999999</v>
      </c>
      <c r="G357" s="52">
        <v>483.90620000000001</v>
      </c>
      <c r="H357" s="52">
        <v>483.90620000000001</v>
      </c>
      <c r="I357" s="52">
        <v>967.81230000000005</v>
      </c>
      <c r="J357" s="52">
        <v>376.08229999999998</v>
      </c>
      <c r="K357" s="52">
        <v>1128.2470000000001</v>
      </c>
      <c r="L357" s="52">
        <v>376.08229999999998</v>
      </c>
      <c r="M357" s="52">
        <v>376.08229999999998</v>
      </c>
      <c r="N357" s="5" t="s">
        <v>69</v>
      </c>
    </row>
    <row r="358" spans="1:14" x14ac:dyDescent="0.25">
      <c r="A358" s="51">
        <v>1.147</v>
      </c>
      <c r="B358" s="52">
        <v>6131.1214</v>
      </c>
      <c r="C358" s="52">
        <v>484.32839999999999</v>
      </c>
      <c r="D358" s="52">
        <v>0</v>
      </c>
      <c r="E358" s="52">
        <v>0</v>
      </c>
      <c r="F358" s="52">
        <v>1452.9853000000001</v>
      </c>
      <c r="G358" s="52">
        <v>484.32839999999999</v>
      </c>
      <c r="H358" s="52">
        <v>484.32839999999999</v>
      </c>
      <c r="I358" s="52">
        <v>968.65689999999995</v>
      </c>
      <c r="J358" s="52">
        <v>376.08229999999998</v>
      </c>
      <c r="K358" s="52">
        <v>1128.2470000000001</v>
      </c>
      <c r="L358" s="52">
        <v>376.08229999999998</v>
      </c>
      <c r="M358" s="52">
        <v>376.08229999999998</v>
      </c>
      <c r="N358" s="5" t="s">
        <v>69</v>
      </c>
    </row>
    <row r="359" spans="1:14" x14ac:dyDescent="0.25">
      <c r="A359" s="51">
        <v>1.1479999999999999</v>
      </c>
      <c r="B359" s="52">
        <v>6134.4994999999999</v>
      </c>
      <c r="C359" s="52">
        <v>484.75069999999999</v>
      </c>
      <c r="D359" s="52">
        <v>0</v>
      </c>
      <c r="E359" s="52">
        <v>0</v>
      </c>
      <c r="F359" s="52">
        <v>1454.2520999999999</v>
      </c>
      <c r="G359" s="52">
        <v>484.75069999999999</v>
      </c>
      <c r="H359" s="52">
        <v>484.75069999999999</v>
      </c>
      <c r="I359" s="52">
        <v>969.50139999999999</v>
      </c>
      <c r="J359" s="52">
        <v>376.08229999999998</v>
      </c>
      <c r="K359" s="52">
        <v>1128.2470000000001</v>
      </c>
      <c r="L359" s="52">
        <v>376.08229999999998</v>
      </c>
      <c r="M359" s="52">
        <v>376.08229999999998</v>
      </c>
      <c r="N359" s="5" t="s">
        <v>69</v>
      </c>
    </row>
    <row r="360" spans="1:14" x14ac:dyDescent="0.25">
      <c r="A360" s="51">
        <v>1.149</v>
      </c>
      <c r="B360" s="52">
        <v>6137.8775999999998</v>
      </c>
      <c r="C360" s="52">
        <v>485.17290000000003</v>
      </c>
      <c r="D360" s="52">
        <v>0</v>
      </c>
      <c r="E360" s="52">
        <v>0</v>
      </c>
      <c r="F360" s="52">
        <v>1455.5188000000001</v>
      </c>
      <c r="G360" s="52">
        <v>485.17290000000003</v>
      </c>
      <c r="H360" s="52">
        <v>485.17290000000003</v>
      </c>
      <c r="I360" s="52">
        <v>970.34590000000003</v>
      </c>
      <c r="J360" s="52">
        <v>376.08229999999998</v>
      </c>
      <c r="K360" s="52">
        <v>1128.2470000000001</v>
      </c>
      <c r="L360" s="52">
        <v>376.08229999999998</v>
      </c>
      <c r="M360" s="52">
        <v>376.08229999999998</v>
      </c>
      <c r="N360" s="5" t="s">
        <v>69</v>
      </c>
    </row>
    <row r="361" spans="1:14" x14ac:dyDescent="0.25">
      <c r="A361" s="51">
        <v>1.1499999999999999</v>
      </c>
      <c r="B361" s="52">
        <v>6141.2556000000004</v>
      </c>
      <c r="C361" s="52">
        <v>485.59519999999998</v>
      </c>
      <c r="D361" s="52">
        <v>0</v>
      </c>
      <c r="E361" s="52">
        <v>0</v>
      </c>
      <c r="F361" s="52">
        <v>1456.7855999999999</v>
      </c>
      <c r="G361" s="52">
        <v>485.59519999999998</v>
      </c>
      <c r="H361" s="52">
        <v>485.59519999999998</v>
      </c>
      <c r="I361" s="52">
        <v>971.19039999999995</v>
      </c>
      <c r="J361" s="52">
        <v>376.08229999999998</v>
      </c>
      <c r="K361" s="52">
        <v>1128.2470000000001</v>
      </c>
      <c r="L361" s="52">
        <v>376.08229999999998</v>
      </c>
      <c r="M361" s="52">
        <v>376.08229999999998</v>
      </c>
      <c r="N361" s="5" t="s">
        <v>69</v>
      </c>
    </row>
    <row r="362" spans="1:14" x14ac:dyDescent="0.25">
      <c r="A362" s="51">
        <v>1.151</v>
      </c>
      <c r="B362" s="52">
        <v>6144.6337000000003</v>
      </c>
      <c r="C362" s="52">
        <v>486.01749999999998</v>
      </c>
      <c r="D362" s="52">
        <v>0</v>
      </c>
      <c r="E362" s="52">
        <v>0</v>
      </c>
      <c r="F362" s="52">
        <v>1458.0524</v>
      </c>
      <c r="G362" s="52">
        <v>486.01749999999998</v>
      </c>
      <c r="H362" s="52">
        <v>486.01749999999998</v>
      </c>
      <c r="I362" s="52">
        <v>972.03489999999999</v>
      </c>
      <c r="J362" s="52">
        <v>376.08229999999998</v>
      </c>
      <c r="K362" s="52">
        <v>1128.2470000000001</v>
      </c>
      <c r="L362" s="52">
        <v>376.08229999999998</v>
      </c>
      <c r="M362" s="52">
        <v>376.08229999999998</v>
      </c>
      <c r="N362" s="5" t="s">
        <v>69</v>
      </c>
    </row>
    <row r="363" spans="1:14" x14ac:dyDescent="0.25">
      <c r="A363" s="51">
        <v>1.1519999999999999</v>
      </c>
      <c r="B363" s="52">
        <v>6148.0117</v>
      </c>
      <c r="C363" s="52">
        <v>486.43970000000002</v>
      </c>
      <c r="D363" s="52">
        <v>0</v>
      </c>
      <c r="E363" s="52">
        <v>0</v>
      </c>
      <c r="F363" s="52">
        <v>1459.3190999999999</v>
      </c>
      <c r="G363" s="52">
        <v>486.43970000000002</v>
      </c>
      <c r="H363" s="52">
        <v>486.43970000000002</v>
      </c>
      <c r="I363" s="52">
        <v>972.87940000000003</v>
      </c>
      <c r="J363" s="52">
        <v>376.08229999999998</v>
      </c>
      <c r="K363" s="52">
        <v>1128.2470000000001</v>
      </c>
      <c r="L363" s="52">
        <v>376.08229999999998</v>
      </c>
      <c r="M363" s="52">
        <v>376.08229999999998</v>
      </c>
      <c r="N363" s="5" t="s">
        <v>69</v>
      </c>
    </row>
    <row r="364" spans="1:14" x14ac:dyDescent="0.25">
      <c r="A364" s="51">
        <v>1.153</v>
      </c>
      <c r="B364" s="52">
        <v>6151.3897999999999</v>
      </c>
      <c r="C364" s="52">
        <v>486.86200000000002</v>
      </c>
      <c r="D364" s="52">
        <v>0</v>
      </c>
      <c r="E364" s="52">
        <v>0</v>
      </c>
      <c r="F364" s="52">
        <v>1460.5859</v>
      </c>
      <c r="G364" s="52">
        <v>486.86200000000002</v>
      </c>
      <c r="H364" s="52">
        <v>486.86200000000002</v>
      </c>
      <c r="I364" s="52">
        <v>973.72389999999996</v>
      </c>
      <c r="J364" s="52">
        <v>376.08229999999998</v>
      </c>
      <c r="K364" s="52">
        <v>1128.2470000000001</v>
      </c>
      <c r="L364" s="52">
        <v>376.08229999999998</v>
      </c>
      <c r="M364" s="52">
        <v>376.08229999999998</v>
      </c>
      <c r="N364" s="5" t="s">
        <v>69</v>
      </c>
    </row>
    <row r="365" spans="1:14" x14ac:dyDescent="0.25">
      <c r="A365" s="51">
        <v>1.1539999999999999</v>
      </c>
      <c r="B365" s="52">
        <v>6154.7677999999996</v>
      </c>
      <c r="C365" s="52">
        <v>487.2842</v>
      </c>
      <c r="D365" s="52">
        <v>0</v>
      </c>
      <c r="E365" s="52">
        <v>0</v>
      </c>
      <c r="F365" s="52">
        <v>1461.8526999999999</v>
      </c>
      <c r="G365" s="52">
        <v>487.2842</v>
      </c>
      <c r="H365" s="52">
        <v>487.2842</v>
      </c>
      <c r="I365" s="52">
        <v>974.56849999999997</v>
      </c>
      <c r="J365" s="52">
        <v>376.08229999999998</v>
      </c>
      <c r="K365" s="52">
        <v>1128.2470000000001</v>
      </c>
      <c r="L365" s="52">
        <v>376.08229999999998</v>
      </c>
      <c r="M365" s="52">
        <v>376.08229999999998</v>
      </c>
      <c r="N365" s="5" t="s">
        <v>69</v>
      </c>
    </row>
    <row r="366" spans="1:14" x14ac:dyDescent="0.25">
      <c r="A366" s="51">
        <v>1.155</v>
      </c>
      <c r="B366" s="52">
        <v>6158.1459000000004</v>
      </c>
      <c r="C366" s="52">
        <v>487.70650000000001</v>
      </c>
      <c r="D366" s="52">
        <v>0</v>
      </c>
      <c r="E366" s="52">
        <v>0</v>
      </c>
      <c r="F366" s="52">
        <v>1463.1195</v>
      </c>
      <c r="G366" s="52">
        <v>487.70650000000001</v>
      </c>
      <c r="H366" s="52">
        <v>487.70650000000001</v>
      </c>
      <c r="I366" s="52">
        <v>975.41300000000001</v>
      </c>
      <c r="J366" s="52">
        <v>376.08229999999998</v>
      </c>
      <c r="K366" s="52">
        <v>1128.2470000000001</v>
      </c>
      <c r="L366" s="52">
        <v>376.08229999999998</v>
      </c>
      <c r="M366" s="52">
        <v>376.08229999999998</v>
      </c>
      <c r="N366" s="5" t="s">
        <v>69</v>
      </c>
    </row>
    <row r="367" spans="1:14" x14ac:dyDescent="0.25">
      <c r="A367" s="51">
        <v>1.1559999999999999</v>
      </c>
      <c r="B367" s="52">
        <v>6161.5239000000001</v>
      </c>
      <c r="C367" s="52">
        <v>488.12869999999998</v>
      </c>
      <c r="D367" s="52">
        <v>0</v>
      </c>
      <c r="E367" s="52">
        <v>0</v>
      </c>
      <c r="F367" s="52">
        <v>1464.3861999999999</v>
      </c>
      <c r="G367" s="52">
        <v>488.12869999999998</v>
      </c>
      <c r="H367" s="52">
        <v>488.12869999999998</v>
      </c>
      <c r="I367" s="52">
        <v>976.25750000000005</v>
      </c>
      <c r="J367" s="52">
        <v>376.08229999999998</v>
      </c>
      <c r="K367" s="52">
        <v>1128.2470000000001</v>
      </c>
      <c r="L367" s="52">
        <v>376.08229999999998</v>
      </c>
      <c r="M367" s="52">
        <v>376.08229999999998</v>
      </c>
      <c r="N367" s="5" t="s">
        <v>69</v>
      </c>
    </row>
    <row r="368" spans="1:14" x14ac:dyDescent="0.25">
      <c r="A368" s="51">
        <v>1.157</v>
      </c>
      <c r="B368" s="52">
        <v>6164.902</v>
      </c>
      <c r="C368" s="52">
        <v>488.55099999999999</v>
      </c>
      <c r="D368" s="52">
        <v>0</v>
      </c>
      <c r="E368" s="52">
        <v>0</v>
      </c>
      <c r="F368" s="52">
        <v>1465.653</v>
      </c>
      <c r="G368" s="52">
        <v>488.55099999999999</v>
      </c>
      <c r="H368" s="52">
        <v>488.55099999999999</v>
      </c>
      <c r="I368" s="52">
        <v>977.10199999999998</v>
      </c>
      <c r="J368" s="52">
        <v>376.08229999999998</v>
      </c>
      <c r="K368" s="52">
        <v>1128.2470000000001</v>
      </c>
      <c r="L368" s="52">
        <v>376.08229999999998</v>
      </c>
      <c r="M368" s="52">
        <v>376.08229999999998</v>
      </c>
      <c r="N368" s="5" t="s">
        <v>69</v>
      </c>
    </row>
    <row r="369" spans="1:14" x14ac:dyDescent="0.25">
      <c r="A369" s="51">
        <v>1.1579999999999999</v>
      </c>
      <c r="B369" s="52">
        <v>6168.28</v>
      </c>
      <c r="C369" s="52">
        <v>488.97329999999999</v>
      </c>
      <c r="D369" s="52">
        <v>0</v>
      </c>
      <c r="E369" s="52">
        <v>0</v>
      </c>
      <c r="F369" s="52">
        <v>1466.9197999999999</v>
      </c>
      <c r="G369" s="52">
        <v>488.97329999999999</v>
      </c>
      <c r="H369" s="52">
        <v>488.97329999999999</v>
      </c>
      <c r="I369" s="52">
        <v>977.94650000000001</v>
      </c>
      <c r="J369" s="52">
        <v>376.08229999999998</v>
      </c>
      <c r="K369" s="52">
        <v>1128.2470000000001</v>
      </c>
      <c r="L369" s="52">
        <v>376.08229999999998</v>
      </c>
      <c r="M369" s="52">
        <v>376.08229999999998</v>
      </c>
      <c r="N369" s="5" t="s">
        <v>69</v>
      </c>
    </row>
    <row r="370" spans="1:14" x14ac:dyDescent="0.25">
      <c r="A370" s="51">
        <v>1.159</v>
      </c>
      <c r="B370" s="52">
        <v>6171.6580999999996</v>
      </c>
      <c r="C370" s="52">
        <v>489.39550000000003</v>
      </c>
      <c r="D370" s="52">
        <v>0</v>
      </c>
      <c r="E370" s="52">
        <v>0</v>
      </c>
      <c r="F370" s="52">
        <v>1468.1865</v>
      </c>
      <c r="G370" s="52">
        <v>489.39550000000003</v>
      </c>
      <c r="H370" s="52">
        <v>489.39550000000003</v>
      </c>
      <c r="I370" s="52">
        <v>978.79100000000005</v>
      </c>
      <c r="J370" s="52">
        <v>376.08229999999998</v>
      </c>
      <c r="K370" s="52">
        <v>1128.2470000000001</v>
      </c>
      <c r="L370" s="52">
        <v>376.08229999999998</v>
      </c>
      <c r="M370" s="52">
        <v>376.08229999999998</v>
      </c>
      <c r="N370" s="5" t="s">
        <v>69</v>
      </c>
    </row>
    <row r="371" spans="1:14" x14ac:dyDescent="0.25">
      <c r="A371" s="51">
        <v>1.1599999999999999</v>
      </c>
      <c r="B371" s="52">
        <v>6175.0361000000003</v>
      </c>
      <c r="C371" s="52">
        <v>489.81779999999998</v>
      </c>
      <c r="D371" s="52">
        <v>0</v>
      </c>
      <c r="E371" s="52">
        <v>0</v>
      </c>
      <c r="F371" s="52">
        <v>1469.4532999999999</v>
      </c>
      <c r="G371" s="52">
        <v>489.81779999999998</v>
      </c>
      <c r="H371" s="52">
        <v>489.81779999999998</v>
      </c>
      <c r="I371" s="52">
        <v>979.63549999999998</v>
      </c>
      <c r="J371" s="52">
        <v>376.08229999999998</v>
      </c>
      <c r="K371" s="52">
        <v>1128.2470000000001</v>
      </c>
      <c r="L371" s="52">
        <v>376.08229999999998</v>
      </c>
      <c r="M371" s="52">
        <v>376.08229999999998</v>
      </c>
      <c r="N371" s="5" t="s">
        <v>69</v>
      </c>
    </row>
    <row r="372" spans="1:14" x14ac:dyDescent="0.25">
      <c r="A372" s="51">
        <v>1.161</v>
      </c>
      <c r="B372" s="52">
        <v>6178.4142000000002</v>
      </c>
      <c r="C372" s="52">
        <v>490.24</v>
      </c>
      <c r="D372" s="52">
        <v>0</v>
      </c>
      <c r="E372" s="52">
        <v>0</v>
      </c>
      <c r="F372" s="52">
        <v>1470.7201</v>
      </c>
      <c r="G372" s="52">
        <v>490.24</v>
      </c>
      <c r="H372" s="52">
        <v>490.24</v>
      </c>
      <c r="I372" s="52">
        <v>980.48</v>
      </c>
      <c r="J372" s="52">
        <v>376.08229999999998</v>
      </c>
      <c r="K372" s="52">
        <v>1128.2470000000001</v>
      </c>
      <c r="L372" s="52">
        <v>376.08229999999998</v>
      </c>
      <c r="M372" s="52">
        <v>376.08229999999998</v>
      </c>
      <c r="N372" s="5" t="s">
        <v>69</v>
      </c>
    </row>
    <row r="373" spans="1:14" x14ac:dyDescent="0.25">
      <c r="A373" s="51">
        <v>1.1619999999999999</v>
      </c>
      <c r="B373" s="52">
        <v>6181.7921999999999</v>
      </c>
      <c r="C373" s="52">
        <v>490.66230000000002</v>
      </c>
      <c r="D373" s="52">
        <v>0</v>
      </c>
      <c r="E373" s="52">
        <v>0</v>
      </c>
      <c r="F373" s="52">
        <v>1471.9867999999999</v>
      </c>
      <c r="G373" s="52">
        <v>490.66230000000002</v>
      </c>
      <c r="H373" s="52">
        <v>490.66230000000002</v>
      </c>
      <c r="I373" s="52">
        <v>981.32460000000003</v>
      </c>
      <c r="J373" s="52">
        <v>376.08229999999998</v>
      </c>
      <c r="K373" s="52">
        <v>1128.2470000000001</v>
      </c>
      <c r="L373" s="52">
        <v>376.08229999999998</v>
      </c>
      <c r="M373" s="52">
        <v>376.08229999999998</v>
      </c>
      <c r="N373" s="5" t="s">
        <v>69</v>
      </c>
    </row>
    <row r="374" spans="1:14" x14ac:dyDescent="0.25">
      <c r="A374" s="51">
        <v>1.163</v>
      </c>
      <c r="B374" s="52">
        <v>6185.1702999999998</v>
      </c>
      <c r="C374" s="52">
        <v>491.08449999999999</v>
      </c>
      <c r="D374" s="52">
        <v>0</v>
      </c>
      <c r="E374" s="52">
        <v>0</v>
      </c>
      <c r="F374" s="52">
        <v>1473.2536</v>
      </c>
      <c r="G374" s="52">
        <v>491.08449999999999</v>
      </c>
      <c r="H374" s="52">
        <v>491.08449999999999</v>
      </c>
      <c r="I374" s="52">
        <v>982.16909999999996</v>
      </c>
      <c r="J374" s="52">
        <v>376.08229999999998</v>
      </c>
      <c r="K374" s="52">
        <v>1128.2470000000001</v>
      </c>
      <c r="L374" s="52">
        <v>376.08229999999998</v>
      </c>
      <c r="M374" s="52">
        <v>376.08229999999998</v>
      </c>
      <c r="N374" s="5" t="s">
        <v>69</v>
      </c>
    </row>
    <row r="375" spans="1:14" x14ac:dyDescent="0.25">
      <c r="A375" s="51">
        <v>1.1639999999999999</v>
      </c>
      <c r="B375" s="52">
        <v>6188.5483999999997</v>
      </c>
      <c r="C375" s="52">
        <v>491.5068</v>
      </c>
      <c r="D375" s="52">
        <v>0</v>
      </c>
      <c r="E375" s="52">
        <v>0</v>
      </c>
      <c r="F375" s="52">
        <v>1474.5204000000001</v>
      </c>
      <c r="G375" s="52">
        <v>491.5068</v>
      </c>
      <c r="H375" s="52">
        <v>491.5068</v>
      </c>
      <c r="I375" s="52">
        <v>983.0136</v>
      </c>
      <c r="J375" s="52">
        <v>376.08229999999998</v>
      </c>
      <c r="K375" s="52">
        <v>1128.2470000000001</v>
      </c>
      <c r="L375" s="52">
        <v>376.08229999999998</v>
      </c>
      <c r="M375" s="52">
        <v>376.08229999999998</v>
      </c>
      <c r="N375" s="5" t="s">
        <v>69</v>
      </c>
    </row>
    <row r="376" spans="1:14" x14ac:dyDescent="0.25">
      <c r="A376" s="51">
        <v>1.165</v>
      </c>
      <c r="B376" s="52">
        <v>6191.9264000000003</v>
      </c>
      <c r="C376" s="52">
        <v>491.92910000000001</v>
      </c>
      <c r="D376" s="52">
        <v>0</v>
      </c>
      <c r="E376" s="52">
        <v>0</v>
      </c>
      <c r="F376" s="52">
        <v>1475.7872</v>
      </c>
      <c r="G376" s="52">
        <v>491.92910000000001</v>
      </c>
      <c r="H376" s="52">
        <v>491.92910000000001</v>
      </c>
      <c r="I376" s="52">
        <v>983.85810000000004</v>
      </c>
      <c r="J376" s="52">
        <v>376.08229999999998</v>
      </c>
      <c r="K376" s="52">
        <v>1128.2470000000001</v>
      </c>
      <c r="L376" s="52">
        <v>376.08229999999998</v>
      </c>
      <c r="M376" s="52">
        <v>376.08229999999998</v>
      </c>
      <c r="N376" s="5" t="s">
        <v>69</v>
      </c>
    </row>
    <row r="377" spans="1:14" x14ac:dyDescent="0.25">
      <c r="A377" s="51">
        <v>1.1659999999999999</v>
      </c>
      <c r="B377" s="52">
        <v>6195.3045000000002</v>
      </c>
      <c r="C377" s="52">
        <v>492.35129999999998</v>
      </c>
      <c r="D377" s="52">
        <v>0</v>
      </c>
      <c r="E377" s="52">
        <v>0</v>
      </c>
      <c r="F377" s="52">
        <v>1477.0539000000001</v>
      </c>
      <c r="G377" s="52">
        <v>492.35129999999998</v>
      </c>
      <c r="H377" s="52">
        <v>492.35129999999998</v>
      </c>
      <c r="I377" s="52">
        <v>984.70259999999996</v>
      </c>
      <c r="J377" s="52">
        <v>376.08229999999998</v>
      </c>
      <c r="K377" s="52">
        <v>1128.2470000000001</v>
      </c>
      <c r="L377" s="52">
        <v>376.08229999999998</v>
      </c>
      <c r="M377" s="52">
        <v>376.08229999999998</v>
      </c>
      <c r="N377" s="5" t="s">
        <v>69</v>
      </c>
    </row>
    <row r="378" spans="1:14" x14ac:dyDescent="0.25">
      <c r="A378" s="51">
        <v>1.167</v>
      </c>
      <c r="B378" s="52">
        <v>6198.6824999999999</v>
      </c>
      <c r="C378" s="52">
        <v>492.77359999999999</v>
      </c>
      <c r="D378" s="52">
        <v>0</v>
      </c>
      <c r="E378" s="52">
        <v>0</v>
      </c>
      <c r="F378" s="52">
        <v>1478.3207</v>
      </c>
      <c r="G378" s="52">
        <v>492.77359999999999</v>
      </c>
      <c r="H378" s="52">
        <v>492.77359999999999</v>
      </c>
      <c r="I378" s="52">
        <v>985.5471</v>
      </c>
      <c r="J378" s="52">
        <v>376.08229999999998</v>
      </c>
      <c r="K378" s="52">
        <v>1128.2470000000001</v>
      </c>
      <c r="L378" s="52">
        <v>376.08229999999998</v>
      </c>
      <c r="M378" s="52">
        <v>376.08229999999998</v>
      </c>
      <c r="N378" s="5" t="s">
        <v>69</v>
      </c>
    </row>
    <row r="379" spans="1:14" x14ac:dyDescent="0.25">
      <c r="A379" s="51">
        <v>1.1679999999999999</v>
      </c>
      <c r="B379" s="52">
        <v>6202.0605999999998</v>
      </c>
      <c r="C379" s="52">
        <v>493.19580000000002</v>
      </c>
      <c r="D379" s="52">
        <v>0</v>
      </c>
      <c r="E379" s="52">
        <v>0</v>
      </c>
      <c r="F379" s="52">
        <v>1479.5875000000001</v>
      </c>
      <c r="G379" s="52">
        <v>493.19580000000002</v>
      </c>
      <c r="H379" s="52">
        <v>493.19580000000002</v>
      </c>
      <c r="I379" s="52">
        <v>986.39160000000004</v>
      </c>
      <c r="J379" s="52">
        <v>376.08229999999998</v>
      </c>
      <c r="K379" s="52">
        <v>1128.2470000000001</v>
      </c>
      <c r="L379" s="52">
        <v>376.08229999999998</v>
      </c>
      <c r="M379" s="52">
        <v>376.08229999999998</v>
      </c>
      <c r="N379" s="5" t="s">
        <v>69</v>
      </c>
    </row>
    <row r="380" spans="1:14" x14ac:dyDescent="0.25">
      <c r="A380" s="51">
        <v>1.169</v>
      </c>
      <c r="B380" s="52">
        <v>6205.4386000000004</v>
      </c>
      <c r="C380" s="52">
        <v>493.61810000000003</v>
      </c>
      <c r="D380" s="52">
        <v>0</v>
      </c>
      <c r="E380" s="52">
        <v>0</v>
      </c>
      <c r="F380" s="52">
        <v>1480.8542</v>
      </c>
      <c r="G380" s="52">
        <v>493.61810000000003</v>
      </c>
      <c r="H380" s="52">
        <v>493.61810000000003</v>
      </c>
      <c r="I380" s="52">
        <v>987.23620000000005</v>
      </c>
      <c r="J380" s="52">
        <v>376.08229999999998</v>
      </c>
      <c r="K380" s="52">
        <v>1128.2470000000001</v>
      </c>
      <c r="L380" s="52">
        <v>376.08229999999998</v>
      </c>
      <c r="M380" s="52">
        <v>376.08229999999998</v>
      </c>
      <c r="N380" s="5" t="s">
        <v>69</v>
      </c>
    </row>
    <row r="381" spans="1:14" x14ac:dyDescent="0.25">
      <c r="A381" s="51">
        <v>1.17</v>
      </c>
      <c r="B381" s="52">
        <v>6208.8167000000003</v>
      </c>
      <c r="C381" s="52">
        <v>494.0403</v>
      </c>
      <c r="D381" s="52">
        <v>0</v>
      </c>
      <c r="E381" s="52">
        <v>0</v>
      </c>
      <c r="F381" s="52">
        <v>1482.1210000000001</v>
      </c>
      <c r="G381" s="52">
        <v>494.0403</v>
      </c>
      <c r="H381" s="52">
        <v>494.0403</v>
      </c>
      <c r="I381" s="52">
        <v>988.08069999999998</v>
      </c>
      <c r="J381" s="52">
        <v>376.08229999999998</v>
      </c>
      <c r="K381" s="52">
        <v>1128.2470000000001</v>
      </c>
      <c r="L381" s="52">
        <v>376.08229999999998</v>
      </c>
      <c r="M381" s="52">
        <v>376.08229999999998</v>
      </c>
      <c r="N381" s="5" t="s">
        <v>69</v>
      </c>
    </row>
    <row r="382" spans="1:14" x14ac:dyDescent="0.25">
      <c r="A382" s="51">
        <v>1.171</v>
      </c>
      <c r="B382" s="52">
        <v>6212.1947</v>
      </c>
      <c r="C382" s="52">
        <v>494.46260000000001</v>
      </c>
      <c r="D382" s="52">
        <v>0</v>
      </c>
      <c r="E382" s="52">
        <v>0</v>
      </c>
      <c r="F382" s="52">
        <v>1483.3878</v>
      </c>
      <c r="G382" s="52">
        <v>494.46260000000001</v>
      </c>
      <c r="H382" s="52">
        <v>494.46260000000001</v>
      </c>
      <c r="I382" s="52">
        <v>988.92520000000002</v>
      </c>
      <c r="J382" s="52">
        <v>376.08229999999998</v>
      </c>
      <c r="K382" s="52">
        <v>1128.2470000000001</v>
      </c>
      <c r="L382" s="52">
        <v>376.08229999999998</v>
      </c>
      <c r="M382" s="52">
        <v>376.08229999999998</v>
      </c>
      <c r="N382" s="5" t="s">
        <v>69</v>
      </c>
    </row>
    <row r="383" spans="1:14" x14ac:dyDescent="0.25">
      <c r="A383" s="51">
        <v>1.1719999999999999</v>
      </c>
      <c r="B383" s="52">
        <v>6215.5727999999999</v>
      </c>
      <c r="C383" s="52">
        <v>494.88479999999998</v>
      </c>
      <c r="D383" s="52">
        <v>0</v>
      </c>
      <c r="E383" s="52">
        <v>0</v>
      </c>
      <c r="F383" s="52">
        <v>1484.6545000000001</v>
      </c>
      <c r="G383" s="52">
        <v>494.88479999999998</v>
      </c>
      <c r="H383" s="52">
        <v>494.88479999999998</v>
      </c>
      <c r="I383" s="52">
        <v>989.76969999999994</v>
      </c>
      <c r="J383" s="52">
        <v>376.08229999999998</v>
      </c>
      <c r="K383" s="52">
        <v>1128.2470000000001</v>
      </c>
      <c r="L383" s="52">
        <v>376.08229999999998</v>
      </c>
      <c r="M383" s="52">
        <v>376.08229999999998</v>
      </c>
      <c r="N383" s="5" t="s">
        <v>69</v>
      </c>
    </row>
    <row r="384" spans="1:14" x14ac:dyDescent="0.25">
      <c r="A384" s="51">
        <v>1.173</v>
      </c>
      <c r="B384" s="52">
        <v>6218.9507999999996</v>
      </c>
      <c r="C384" s="52">
        <v>495.30709999999999</v>
      </c>
      <c r="D384" s="52">
        <v>0</v>
      </c>
      <c r="E384" s="52">
        <v>0</v>
      </c>
      <c r="F384" s="52">
        <v>1485.9213</v>
      </c>
      <c r="G384" s="52">
        <v>495.30709999999999</v>
      </c>
      <c r="H384" s="52">
        <v>495.30709999999999</v>
      </c>
      <c r="I384" s="52">
        <v>990.61419999999998</v>
      </c>
      <c r="J384" s="52">
        <v>376.08229999999998</v>
      </c>
      <c r="K384" s="52">
        <v>1128.2470000000001</v>
      </c>
      <c r="L384" s="52">
        <v>376.08229999999998</v>
      </c>
      <c r="M384" s="52">
        <v>376.08229999999998</v>
      </c>
      <c r="N384" s="5" t="s">
        <v>69</v>
      </c>
    </row>
    <row r="385" spans="1:14" x14ac:dyDescent="0.25">
      <c r="A385" s="51">
        <v>1.1739999999999999</v>
      </c>
      <c r="B385" s="52">
        <v>6222.3289000000004</v>
      </c>
      <c r="C385" s="52">
        <v>495.7294</v>
      </c>
      <c r="D385" s="52">
        <v>0</v>
      </c>
      <c r="E385" s="52">
        <v>0</v>
      </c>
      <c r="F385" s="52">
        <v>1487.1881000000001</v>
      </c>
      <c r="G385" s="52">
        <v>495.7294</v>
      </c>
      <c r="H385" s="52">
        <v>495.7294</v>
      </c>
      <c r="I385" s="52">
        <v>991.45870000000002</v>
      </c>
      <c r="J385" s="52">
        <v>376.08229999999998</v>
      </c>
      <c r="K385" s="52">
        <v>1128.2470000000001</v>
      </c>
      <c r="L385" s="52">
        <v>376.08229999999998</v>
      </c>
      <c r="M385" s="52">
        <v>376.08229999999998</v>
      </c>
      <c r="N385" s="5" t="s">
        <v>69</v>
      </c>
    </row>
    <row r="386" spans="1:14" x14ac:dyDescent="0.25">
      <c r="A386" s="51">
        <v>1.175</v>
      </c>
      <c r="B386" s="52">
        <v>6225.7069000000001</v>
      </c>
      <c r="C386" s="52">
        <v>496.15159999999997</v>
      </c>
      <c r="D386" s="52">
        <v>0</v>
      </c>
      <c r="E386" s="52">
        <v>0</v>
      </c>
      <c r="F386" s="52">
        <v>1488.4549</v>
      </c>
      <c r="G386" s="52">
        <v>496.15159999999997</v>
      </c>
      <c r="H386" s="52">
        <v>496.15159999999997</v>
      </c>
      <c r="I386" s="52">
        <v>992.30319999999995</v>
      </c>
      <c r="J386" s="52">
        <v>376.08229999999998</v>
      </c>
      <c r="K386" s="52">
        <v>1128.2470000000001</v>
      </c>
      <c r="L386" s="52">
        <v>376.08229999999998</v>
      </c>
      <c r="M386" s="52">
        <v>376.08229999999998</v>
      </c>
      <c r="N386" s="5" t="s">
        <v>69</v>
      </c>
    </row>
    <row r="387" spans="1:14" x14ac:dyDescent="0.25">
      <c r="A387" s="51">
        <v>1.1759999999999999</v>
      </c>
      <c r="B387" s="52">
        <v>6229.085</v>
      </c>
      <c r="C387" s="52">
        <v>496.57389999999998</v>
      </c>
      <c r="D387" s="52">
        <v>0</v>
      </c>
      <c r="E387" s="52">
        <v>0</v>
      </c>
      <c r="F387" s="52">
        <v>1489.7216000000001</v>
      </c>
      <c r="G387" s="52">
        <v>496.57389999999998</v>
      </c>
      <c r="H387" s="52">
        <v>496.57389999999998</v>
      </c>
      <c r="I387" s="52">
        <v>993.14779999999996</v>
      </c>
      <c r="J387" s="52">
        <v>376.08229999999998</v>
      </c>
      <c r="K387" s="52">
        <v>1128.2470000000001</v>
      </c>
      <c r="L387" s="52">
        <v>376.08229999999998</v>
      </c>
      <c r="M387" s="52">
        <v>376.08229999999998</v>
      </c>
      <c r="N387" s="5" t="s">
        <v>69</v>
      </c>
    </row>
    <row r="388" spans="1:14" x14ac:dyDescent="0.25">
      <c r="A388" s="51">
        <v>1.177</v>
      </c>
      <c r="B388" s="52">
        <v>6232.4630999999999</v>
      </c>
      <c r="C388" s="52">
        <v>496.99610000000001</v>
      </c>
      <c r="D388" s="52">
        <v>0</v>
      </c>
      <c r="E388" s="52">
        <v>0</v>
      </c>
      <c r="F388" s="52">
        <v>1490.9884</v>
      </c>
      <c r="G388" s="52">
        <v>496.99610000000001</v>
      </c>
      <c r="H388" s="52">
        <v>496.99610000000001</v>
      </c>
      <c r="I388" s="52">
        <v>993.9923</v>
      </c>
      <c r="J388" s="52">
        <v>376.08229999999998</v>
      </c>
      <c r="K388" s="52">
        <v>1128.2470000000001</v>
      </c>
      <c r="L388" s="52">
        <v>376.08229999999998</v>
      </c>
      <c r="M388" s="52">
        <v>376.08229999999998</v>
      </c>
      <c r="N388" s="5" t="s">
        <v>69</v>
      </c>
    </row>
    <row r="389" spans="1:14" x14ac:dyDescent="0.25">
      <c r="A389" s="51">
        <v>1.1779999999999999</v>
      </c>
      <c r="B389" s="52">
        <v>6235.8410999999996</v>
      </c>
      <c r="C389" s="52">
        <v>497.41840000000002</v>
      </c>
      <c r="D389" s="52">
        <v>0</v>
      </c>
      <c r="E389" s="52">
        <v>0</v>
      </c>
      <c r="F389" s="52">
        <v>1492.2552000000001</v>
      </c>
      <c r="G389" s="52">
        <v>497.41840000000002</v>
      </c>
      <c r="H389" s="52">
        <v>497.41840000000002</v>
      </c>
      <c r="I389" s="52">
        <v>994.83680000000004</v>
      </c>
      <c r="J389" s="52">
        <v>376.08229999999998</v>
      </c>
      <c r="K389" s="52">
        <v>1128.2470000000001</v>
      </c>
      <c r="L389" s="52">
        <v>376.08229999999998</v>
      </c>
      <c r="M389" s="52">
        <v>376.08229999999998</v>
      </c>
      <c r="N389" s="5" t="s">
        <v>69</v>
      </c>
    </row>
    <row r="390" spans="1:14" x14ac:dyDescent="0.25">
      <c r="A390" s="51">
        <v>1.179</v>
      </c>
      <c r="B390" s="52">
        <v>6239.2191999999995</v>
      </c>
      <c r="C390" s="52">
        <v>497.84059999999999</v>
      </c>
      <c r="D390" s="52">
        <v>0</v>
      </c>
      <c r="E390" s="52">
        <v>0</v>
      </c>
      <c r="F390" s="52">
        <v>1493.5219</v>
      </c>
      <c r="G390" s="52">
        <v>497.84059999999999</v>
      </c>
      <c r="H390" s="52">
        <v>497.84059999999999</v>
      </c>
      <c r="I390" s="52">
        <v>995.68129999999996</v>
      </c>
      <c r="J390" s="52">
        <v>376.08229999999998</v>
      </c>
      <c r="K390" s="52">
        <v>1128.2470000000001</v>
      </c>
      <c r="L390" s="52">
        <v>376.08229999999998</v>
      </c>
      <c r="M390" s="52">
        <v>376.08229999999998</v>
      </c>
      <c r="N390" s="5" t="s">
        <v>69</v>
      </c>
    </row>
    <row r="391" spans="1:14" x14ac:dyDescent="0.25">
      <c r="A391" s="51">
        <v>1.18</v>
      </c>
      <c r="B391" s="52">
        <v>6242.5972000000002</v>
      </c>
      <c r="C391" s="52">
        <v>498.2629</v>
      </c>
      <c r="D391" s="52">
        <v>0</v>
      </c>
      <c r="E391" s="52">
        <v>0</v>
      </c>
      <c r="F391" s="52">
        <v>1494.7887000000001</v>
      </c>
      <c r="G391" s="52">
        <v>498.2629</v>
      </c>
      <c r="H391" s="52">
        <v>498.2629</v>
      </c>
      <c r="I391" s="52">
        <v>996.5258</v>
      </c>
      <c r="J391" s="52">
        <v>376.08229999999998</v>
      </c>
      <c r="K391" s="52">
        <v>1128.2470000000001</v>
      </c>
      <c r="L391" s="52">
        <v>376.08229999999998</v>
      </c>
      <c r="M391" s="52">
        <v>376.08229999999998</v>
      </c>
      <c r="N391" s="5" t="s">
        <v>69</v>
      </c>
    </row>
    <row r="392" spans="1:14" x14ac:dyDescent="0.25">
      <c r="A392" s="51">
        <v>1.181</v>
      </c>
      <c r="B392" s="52">
        <v>6245.9753000000001</v>
      </c>
      <c r="C392" s="52">
        <v>498.68520000000001</v>
      </c>
      <c r="D392" s="52">
        <v>0</v>
      </c>
      <c r="E392" s="52">
        <v>0</v>
      </c>
      <c r="F392" s="52">
        <v>1496.0554999999999</v>
      </c>
      <c r="G392" s="52">
        <v>498.68520000000001</v>
      </c>
      <c r="H392" s="52">
        <v>498.68520000000001</v>
      </c>
      <c r="I392" s="52">
        <v>997.37030000000004</v>
      </c>
      <c r="J392" s="52">
        <v>376.08229999999998</v>
      </c>
      <c r="K392" s="52">
        <v>1128.2470000000001</v>
      </c>
      <c r="L392" s="52">
        <v>376.08229999999998</v>
      </c>
      <c r="M392" s="52">
        <v>376.08229999999998</v>
      </c>
      <c r="N392" s="5" t="s">
        <v>69</v>
      </c>
    </row>
    <row r="393" spans="1:14" x14ac:dyDescent="0.25">
      <c r="A393" s="51">
        <v>1.1819999999999999</v>
      </c>
      <c r="B393" s="52">
        <v>6249.3532999999998</v>
      </c>
      <c r="C393" s="52">
        <v>499.10739999999998</v>
      </c>
      <c r="D393" s="52">
        <v>0</v>
      </c>
      <c r="E393" s="52">
        <v>0</v>
      </c>
      <c r="F393" s="52">
        <v>1497.3222000000001</v>
      </c>
      <c r="G393" s="52">
        <v>499.10739999999998</v>
      </c>
      <c r="H393" s="52">
        <v>499.10739999999998</v>
      </c>
      <c r="I393" s="52">
        <v>998.21479999999997</v>
      </c>
      <c r="J393" s="52">
        <v>376.08229999999998</v>
      </c>
      <c r="K393" s="52">
        <v>1128.2470000000001</v>
      </c>
      <c r="L393" s="52">
        <v>376.08229999999998</v>
      </c>
      <c r="M393" s="52">
        <v>376.08229999999998</v>
      </c>
      <c r="N393" s="5" t="s">
        <v>69</v>
      </c>
    </row>
    <row r="394" spans="1:14" x14ac:dyDescent="0.25">
      <c r="A394" s="51">
        <v>1.1830000000000001</v>
      </c>
      <c r="B394" s="52">
        <v>6252.7313999999997</v>
      </c>
      <c r="C394" s="52">
        <v>499.52969999999999</v>
      </c>
      <c r="D394" s="52">
        <v>0</v>
      </c>
      <c r="E394" s="52">
        <v>0</v>
      </c>
      <c r="F394" s="52">
        <v>1498.5889999999999</v>
      </c>
      <c r="G394" s="52">
        <v>499.52969999999999</v>
      </c>
      <c r="H394" s="52">
        <v>499.52969999999999</v>
      </c>
      <c r="I394" s="52">
        <v>999.05930000000001</v>
      </c>
      <c r="J394" s="52">
        <v>376.08229999999998</v>
      </c>
      <c r="K394" s="52">
        <v>1128.2470000000001</v>
      </c>
      <c r="L394" s="52">
        <v>376.08229999999998</v>
      </c>
      <c r="M394" s="52">
        <v>376.08229999999998</v>
      </c>
      <c r="N394" s="5" t="s">
        <v>69</v>
      </c>
    </row>
    <row r="395" spans="1:14" x14ac:dyDescent="0.25">
      <c r="A395" s="51">
        <v>1.1839999999999999</v>
      </c>
      <c r="B395" s="52">
        <v>6256.1094000000003</v>
      </c>
      <c r="C395" s="52">
        <v>499.95190000000002</v>
      </c>
      <c r="D395" s="52">
        <v>0</v>
      </c>
      <c r="E395" s="52">
        <v>0</v>
      </c>
      <c r="F395" s="52">
        <v>1499.8558</v>
      </c>
      <c r="G395" s="52">
        <v>499.95190000000002</v>
      </c>
      <c r="H395" s="52">
        <v>499.95190000000002</v>
      </c>
      <c r="I395" s="52">
        <v>999.90390000000002</v>
      </c>
      <c r="J395" s="52">
        <v>376.08229999999998</v>
      </c>
      <c r="K395" s="52">
        <v>1128.2470000000001</v>
      </c>
      <c r="L395" s="52">
        <v>376.08229999999998</v>
      </c>
      <c r="M395" s="52">
        <v>376.08229999999998</v>
      </c>
      <c r="N395" s="5" t="s">
        <v>69</v>
      </c>
    </row>
    <row r="396" spans="1:14" x14ac:dyDescent="0.25">
      <c r="A396" s="51">
        <v>1.1850000000000001</v>
      </c>
      <c r="B396" s="52">
        <v>6259.4875000000002</v>
      </c>
      <c r="C396" s="52">
        <v>500.37419999999997</v>
      </c>
      <c r="D396" s="52">
        <v>0</v>
      </c>
      <c r="E396" s="52">
        <v>0</v>
      </c>
      <c r="F396" s="52">
        <v>1501.1225999999999</v>
      </c>
      <c r="G396" s="52">
        <v>500.37419999999997</v>
      </c>
      <c r="H396" s="52">
        <v>500.37419999999997</v>
      </c>
      <c r="I396" s="52">
        <v>1000.7483999999999</v>
      </c>
      <c r="J396" s="52">
        <v>376.08229999999998</v>
      </c>
      <c r="K396" s="52">
        <v>1128.2470000000001</v>
      </c>
      <c r="L396" s="52">
        <v>376.08229999999998</v>
      </c>
      <c r="M396" s="52">
        <v>376.08229999999998</v>
      </c>
      <c r="N396" s="5" t="s">
        <v>69</v>
      </c>
    </row>
    <row r="397" spans="1:14" x14ac:dyDescent="0.25">
      <c r="A397" s="51">
        <v>1.1859999999999999</v>
      </c>
      <c r="B397" s="52">
        <v>6262.8654999999999</v>
      </c>
      <c r="C397" s="52">
        <v>500.79640000000001</v>
      </c>
      <c r="D397" s="52">
        <v>0</v>
      </c>
      <c r="E397" s="52">
        <v>0</v>
      </c>
      <c r="F397" s="52">
        <v>1502.3893</v>
      </c>
      <c r="G397" s="52">
        <v>500.79640000000001</v>
      </c>
      <c r="H397" s="52">
        <v>500.79640000000001</v>
      </c>
      <c r="I397" s="52">
        <v>1001.5929</v>
      </c>
      <c r="J397" s="52">
        <v>376.08229999999998</v>
      </c>
      <c r="K397" s="52">
        <v>1128.2470000000001</v>
      </c>
      <c r="L397" s="52">
        <v>376.08229999999998</v>
      </c>
      <c r="M397" s="52">
        <v>376.08229999999998</v>
      </c>
      <c r="N397" s="5" t="s">
        <v>69</v>
      </c>
    </row>
    <row r="398" spans="1:14" x14ac:dyDescent="0.25">
      <c r="A398" s="51">
        <v>1.1870000000000001</v>
      </c>
      <c r="B398" s="52">
        <v>6266.2435999999998</v>
      </c>
      <c r="C398" s="52">
        <v>501.21870000000001</v>
      </c>
      <c r="D398" s="52">
        <v>0</v>
      </c>
      <c r="E398" s="52">
        <v>0</v>
      </c>
      <c r="F398" s="52">
        <v>1503.6560999999999</v>
      </c>
      <c r="G398" s="52">
        <v>501.21870000000001</v>
      </c>
      <c r="H398" s="52">
        <v>501.21870000000001</v>
      </c>
      <c r="I398" s="52">
        <v>1002.4374</v>
      </c>
      <c r="J398" s="52">
        <v>376.08229999999998</v>
      </c>
      <c r="K398" s="52">
        <v>1128.2470000000001</v>
      </c>
      <c r="L398" s="52">
        <v>376.08229999999998</v>
      </c>
      <c r="M398" s="52">
        <v>376.08229999999998</v>
      </c>
      <c r="N398" s="5" t="s">
        <v>69</v>
      </c>
    </row>
    <row r="399" spans="1:14" x14ac:dyDescent="0.25">
      <c r="A399" s="51">
        <v>1.1879999999999999</v>
      </c>
      <c r="B399" s="52">
        <v>6269.6216000000004</v>
      </c>
      <c r="C399" s="52">
        <v>501.64100000000002</v>
      </c>
      <c r="D399" s="52">
        <v>0</v>
      </c>
      <c r="E399" s="52">
        <v>0</v>
      </c>
      <c r="F399" s="52">
        <v>1504.9229</v>
      </c>
      <c r="G399" s="52">
        <v>501.64100000000002</v>
      </c>
      <c r="H399" s="52">
        <v>501.64100000000002</v>
      </c>
      <c r="I399" s="52">
        <v>1003.2819</v>
      </c>
      <c r="J399" s="52">
        <v>376.08229999999998</v>
      </c>
      <c r="K399" s="52">
        <v>1128.2470000000001</v>
      </c>
      <c r="L399" s="52">
        <v>376.08229999999998</v>
      </c>
      <c r="M399" s="52">
        <v>376.08229999999998</v>
      </c>
      <c r="N399" s="5" t="s">
        <v>69</v>
      </c>
    </row>
    <row r="400" spans="1:14" x14ac:dyDescent="0.25">
      <c r="A400" s="51">
        <v>1.1890000000000001</v>
      </c>
      <c r="B400" s="52">
        <v>6272.9997000000003</v>
      </c>
      <c r="C400" s="52">
        <v>502.06319999999999</v>
      </c>
      <c r="D400" s="52">
        <v>0</v>
      </c>
      <c r="E400" s="52">
        <v>0</v>
      </c>
      <c r="F400" s="52">
        <v>1506.1895999999999</v>
      </c>
      <c r="G400" s="52">
        <v>502.06319999999999</v>
      </c>
      <c r="H400" s="52">
        <v>502.06319999999999</v>
      </c>
      <c r="I400" s="52">
        <v>1004.1264</v>
      </c>
      <c r="J400" s="52">
        <v>376.08229999999998</v>
      </c>
      <c r="K400" s="52">
        <v>1128.2470000000001</v>
      </c>
      <c r="L400" s="52">
        <v>376.08229999999998</v>
      </c>
      <c r="M400" s="52">
        <v>376.08229999999998</v>
      </c>
      <c r="N400" s="5" t="s">
        <v>69</v>
      </c>
    </row>
    <row r="401" spans="1:14" x14ac:dyDescent="0.25">
      <c r="A401" s="51">
        <v>1.19</v>
      </c>
      <c r="B401" s="52">
        <v>6276.3777</v>
      </c>
      <c r="C401" s="52">
        <v>502.4855</v>
      </c>
      <c r="D401" s="52">
        <v>0</v>
      </c>
      <c r="E401" s="52">
        <v>0</v>
      </c>
      <c r="F401" s="52">
        <v>1507.4564</v>
      </c>
      <c r="G401" s="52">
        <v>502.4855</v>
      </c>
      <c r="H401" s="52">
        <v>502.4855</v>
      </c>
      <c r="I401" s="52">
        <v>1004.9709</v>
      </c>
      <c r="J401" s="52">
        <v>376.08229999999998</v>
      </c>
      <c r="K401" s="52">
        <v>1128.2470000000001</v>
      </c>
      <c r="L401" s="52">
        <v>376.08229999999998</v>
      </c>
      <c r="M401" s="52">
        <v>376.08229999999998</v>
      </c>
      <c r="N401" s="5" t="s">
        <v>69</v>
      </c>
    </row>
    <row r="402" spans="1:14" x14ac:dyDescent="0.25">
      <c r="A402" s="51">
        <v>1.1910000000000001</v>
      </c>
      <c r="B402" s="52">
        <v>6279.7557999999999</v>
      </c>
      <c r="C402" s="52">
        <v>502.90769999999998</v>
      </c>
      <c r="D402" s="52">
        <v>0</v>
      </c>
      <c r="E402" s="52">
        <v>0</v>
      </c>
      <c r="F402" s="52">
        <v>1508.7231999999999</v>
      </c>
      <c r="G402" s="52">
        <v>502.90769999999998</v>
      </c>
      <c r="H402" s="52">
        <v>502.90769999999998</v>
      </c>
      <c r="I402" s="52">
        <v>1005.8155</v>
      </c>
      <c r="J402" s="52">
        <v>376.08229999999998</v>
      </c>
      <c r="K402" s="52">
        <v>1128.2470000000001</v>
      </c>
      <c r="L402" s="52">
        <v>376.08229999999998</v>
      </c>
      <c r="M402" s="52">
        <v>376.08229999999998</v>
      </c>
      <c r="N402" s="5" t="s">
        <v>69</v>
      </c>
    </row>
    <row r="403" spans="1:14" x14ac:dyDescent="0.25">
      <c r="A403" s="51">
        <v>1.1919999999999999</v>
      </c>
      <c r="B403" s="52">
        <v>6283.1338999999998</v>
      </c>
      <c r="C403" s="52">
        <v>503.33</v>
      </c>
      <c r="D403" s="52">
        <v>0</v>
      </c>
      <c r="E403" s="52">
        <v>0</v>
      </c>
      <c r="F403" s="52">
        <v>1509.9899</v>
      </c>
      <c r="G403" s="52">
        <v>503.33</v>
      </c>
      <c r="H403" s="52">
        <v>503.33</v>
      </c>
      <c r="I403" s="52">
        <v>1006.66</v>
      </c>
      <c r="J403" s="52">
        <v>376.08229999999998</v>
      </c>
      <c r="K403" s="52">
        <v>1128.2470000000001</v>
      </c>
      <c r="L403" s="52">
        <v>376.08229999999998</v>
      </c>
      <c r="M403" s="52">
        <v>376.08229999999998</v>
      </c>
      <c r="N403" s="5" t="s">
        <v>69</v>
      </c>
    </row>
    <row r="404" spans="1:14" x14ac:dyDescent="0.25">
      <c r="A404" s="51">
        <v>1.1930000000000001</v>
      </c>
      <c r="B404" s="52">
        <v>6286.5119000000004</v>
      </c>
      <c r="C404" s="52">
        <v>503.75220000000002</v>
      </c>
      <c r="D404" s="52">
        <v>0</v>
      </c>
      <c r="E404" s="52">
        <v>0</v>
      </c>
      <c r="F404" s="52">
        <v>1511.2566999999999</v>
      </c>
      <c r="G404" s="52">
        <v>503.75220000000002</v>
      </c>
      <c r="H404" s="52">
        <v>503.75220000000002</v>
      </c>
      <c r="I404" s="52">
        <v>1007.5045</v>
      </c>
      <c r="J404" s="52">
        <v>376.08229999999998</v>
      </c>
      <c r="K404" s="52">
        <v>1128.2470000000001</v>
      </c>
      <c r="L404" s="52">
        <v>376.08229999999998</v>
      </c>
      <c r="M404" s="52">
        <v>376.08229999999998</v>
      </c>
      <c r="N404" s="5" t="s">
        <v>69</v>
      </c>
    </row>
    <row r="405" spans="1:14" x14ac:dyDescent="0.25">
      <c r="A405" s="51">
        <v>1.194</v>
      </c>
      <c r="B405" s="52">
        <v>6289.89</v>
      </c>
      <c r="C405" s="52">
        <v>504.17450000000002</v>
      </c>
      <c r="D405" s="52">
        <v>0</v>
      </c>
      <c r="E405" s="52">
        <v>0</v>
      </c>
      <c r="F405" s="52">
        <v>1512.5235</v>
      </c>
      <c r="G405" s="52">
        <v>504.17450000000002</v>
      </c>
      <c r="H405" s="52">
        <v>504.17450000000002</v>
      </c>
      <c r="I405" s="52">
        <v>1008.349</v>
      </c>
      <c r="J405" s="52">
        <v>376.08229999999998</v>
      </c>
      <c r="K405" s="52">
        <v>1128.2470000000001</v>
      </c>
      <c r="L405" s="52">
        <v>376.08229999999998</v>
      </c>
      <c r="M405" s="52">
        <v>376.08229999999998</v>
      </c>
      <c r="N405" s="5" t="s">
        <v>69</v>
      </c>
    </row>
    <row r="406" spans="1:14" x14ac:dyDescent="0.25">
      <c r="A406" s="51">
        <v>1.1950000000000001</v>
      </c>
      <c r="B406" s="52">
        <v>6293.268</v>
      </c>
      <c r="C406" s="52">
        <v>504.59679999999997</v>
      </c>
      <c r="D406" s="52">
        <v>0</v>
      </c>
      <c r="E406" s="52">
        <v>0</v>
      </c>
      <c r="F406" s="52">
        <v>1513.7902999999999</v>
      </c>
      <c r="G406" s="52">
        <v>504.59679999999997</v>
      </c>
      <c r="H406" s="52">
        <v>504.59679999999997</v>
      </c>
      <c r="I406" s="52">
        <v>1009.1935</v>
      </c>
      <c r="J406" s="52">
        <v>376.08229999999998</v>
      </c>
      <c r="K406" s="52">
        <v>1128.2470000000001</v>
      </c>
      <c r="L406" s="52">
        <v>376.08229999999998</v>
      </c>
      <c r="M406" s="52">
        <v>376.08229999999998</v>
      </c>
      <c r="N406" s="5" t="s">
        <v>69</v>
      </c>
    </row>
    <row r="407" spans="1:14" x14ac:dyDescent="0.25">
      <c r="A407" s="51">
        <v>1.196</v>
      </c>
      <c r="B407" s="52">
        <v>6296.6460999999999</v>
      </c>
      <c r="C407" s="52">
        <v>505.01900000000001</v>
      </c>
      <c r="D407" s="52">
        <v>0</v>
      </c>
      <c r="E407" s="52">
        <v>0</v>
      </c>
      <c r="F407" s="52">
        <v>1515.057</v>
      </c>
      <c r="G407" s="52">
        <v>505.01900000000001</v>
      </c>
      <c r="H407" s="52">
        <v>505.01900000000001</v>
      </c>
      <c r="I407" s="52">
        <v>1010.038</v>
      </c>
      <c r="J407" s="52">
        <v>376.08229999999998</v>
      </c>
      <c r="K407" s="52">
        <v>1128.2470000000001</v>
      </c>
      <c r="L407" s="52">
        <v>376.08229999999998</v>
      </c>
      <c r="M407" s="52">
        <v>376.08229999999998</v>
      </c>
      <c r="N407" s="5" t="s">
        <v>69</v>
      </c>
    </row>
    <row r="408" spans="1:14" x14ac:dyDescent="0.25">
      <c r="A408" s="51">
        <v>1.1970000000000001</v>
      </c>
      <c r="B408" s="52">
        <v>6300.0240999999996</v>
      </c>
      <c r="C408" s="52">
        <v>505.44130000000001</v>
      </c>
      <c r="D408" s="52">
        <v>0</v>
      </c>
      <c r="E408" s="52">
        <v>0</v>
      </c>
      <c r="F408" s="52">
        <v>1516.3237999999999</v>
      </c>
      <c r="G408" s="52">
        <v>505.44130000000001</v>
      </c>
      <c r="H408" s="52">
        <v>505.44130000000001</v>
      </c>
      <c r="I408" s="52">
        <v>1010.8825000000001</v>
      </c>
      <c r="J408" s="52">
        <v>376.08229999999998</v>
      </c>
      <c r="K408" s="52">
        <v>1128.2470000000001</v>
      </c>
      <c r="L408" s="52">
        <v>376.08229999999998</v>
      </c>
      <c r="M408" s="52">
        <v>376.08229999999998</v>
      </c>
      <c r="N408" s="5" t="s">
        <v>69</v>
      </c>
    </row>
    <row r="409" spans="1:14" x14ac:dyDescent="0.25">
      <c r="A409" s="51">
        <v>1.198</v>
      </c>
      <c r="B409" s="52">
        <v>6303.4022000000004</v>
      </c>
      <c r="C409" s="52">
        <v>505.86349999999999</v>
      </c>
      <c r="D409" s="52">
        <v>0</v>
      </c>
      <c r="E409" s="52">
        <v>0</v>
      </c>
      <c r="F409" s="52">
        <v>1517.5906</v>
      </c>
      <c r="G409" s="52">
        <v>505.86349999999999</v>
      </c>
      <c r="H409" s="52">
        <v>505.86349999999999</v>
      </c>
      <c r="I409" s="52">
        <v>1011.727</v>
      </c>
      <c r="J409" s="52">
        <v>376.08229999999998</v>
      </c>
      <c r="K409" s="52">
        <v>1128.2470000000001</v>
      </c>
      <c r="L409" s="52">
        <v>376.08229999999998</v>
      </c>
      <c r="M409" s="52">
        <v>376.08229999999998</v>
      </c>
      <c r="N409" s="5" t="s">
        <v>69</v>
      </c>
    </row>
    <row r="410" spans="1:14" x14ac:dyDescent="0.25">
      <c r="A410" s="51">
        <v>1.1990000000000001</v>
      </c>
      <c r="B410" s="52">
        <v>6306.7802000000001</v>
      </c>
      <c r="C410" s="52">
        <v>506.28579999999999</v>
      </c>
      <c r="D410" s="52">
        <v>0</v>
      </c>
      <c r="E410" s="52">
        <v>0</v>
      </c>
      <c r="F410" s="52">
        <v>1518.8572999999999</v>
      </c>
      <c r="G410" s="52">
        <v>506.28579999999999</v>
      </c>
      <c r="H410" s="52">
        <v>506.28579999999999</v>
      </c>
      <c r="I410" s="52">
        <v>1012.5716</v>
      </c>
      <c r="J410" s="52">
        <v>376.08229999999998</v>
      </c>
      <c r="K410" s="52">
        <v>1128.2470000000001</v>
      </c>
      <c r="L410" s="52">
        <v>376.08229999999998</v>
      </c>
      <c r="M410" s="52">
        <v>376.08229999999998</v>
      </c>
      <c r="N410" s="5" t="s">
        <v>69</v>
      </c>
    </row>
    <row r="411" spans="1:14" x14ac:dyDescent="0.25">
      <c r="A411" s="51">
        <v>1.2</v>
      </c>
      <c r="B411" s="52">
        <v>7152.0731999999998</v>
      </c>
      <c r="C411" s="52">
        <v>611.94740000000002</v>
      </c>
      <c r="D411" s="52">
        <v>0</v>
      </c>
      <c r="E411" s="52">
        <v>0</v>
      </c>
      <c r="F411" s="52">
        <v>1835.8422</v>
      </c>
      <c r="G411" s="52">
        <v>611.94740000000002</v>
      </c>
      <c r="H411" s="52">
        <v>611.94740000000002</v>
      </c>
      <c r="I411" s="52">
        <v>1223.8948</v>
      </c>
      <c r="J411" s="52">
        <v>376.08229999999998</v>
      </c>
      <c r="K411" s="52">
        <v>1128.2470000000001</v>
      </c>
      <c r="L411" s="52">
        <v>376.08229999999998</v>
      </c>
      <c r="M411" s="52">
        <v>376.08229999999998</v>
      </c>
      <c r="N411" s="5" t="s">
        <v>69</v>
      </c>
    </row>
    <row r="412" spans="1:14" x14ac:dyDescent="0.25">
      <c r="A412" s="51">
        <v>1.2010000000000001</v>
      </c>
      <c r="B412" s="52">
        <v>7156.1527999999998</v>
      </c>
      <c r="C412" s="52">
        <v>612.45740000000001</v>
      </c>
      <c r="D412" s="52">
        <v>0</v>
      </c>
      <c r="E412" s="52">
        <v>0</v>
      </c>
      <c r="F412" s="52">
        <v>1837.3721</v>
      </c>
      <c r="G412" s="52">
        <v>612.45740000000001</v>
      </c>
      <c r="H412" s="52">
        <v>612.45740000000001</v>
      </c>
      <c r="I412" s="52">
        <v>1224.9147</v>
      </c>
      <c r="J412" s="52">
        <v>376.08229999999998</v>
      </c>
      <c r="K412" s="52">
        <v>1128.2470000000001</v>
      </c>
      <c r="L412" s="52">
        <v>376.08229999999998</v>
      </c>
      <c r="M412" s="52">
        <v>376.08229999999998</v>
      </c>
      <c r="N412" s="5" t="s">
        <v>69</v>
      </c>
    </row>
    <row r="413" spans="1:14" x14ac:dyDescent="0.25">
      <c r="A413" s="51">
        <v>1.202</v>
      </c>
      <c r="B413" s="52">
        <v>7160.2325000000001</v>
      </c>
      <c r="C413" s="52">
        <v>612.96730000000002</v>
      </c>
      <c r="D413" s="52">
        <v>0</v>
      </c>
      <c r="E413" s="52">
        <v>0</v>
      </c>
      <c r="F413" s="52">
        <v>1838.9019000000001</v>
      </c>
      <c r="G413" s="52">
        <v>612.96730000000002</v>
      </c>
      <c r="H413" s="52">
        <v>612.96730000000002</v>
      </c>
      <c r="I413" s="52">
        <v>1225.9346</v>
      </c>
      <c r="J413" s="52">
        <v>376.08229999999998</v>
      </c>
      <c r="K413" s="52">
        <v>1128.2470000000001</v>
      </c>
      <c r="L413" s="52">
        <v>376.08229999999998</v>
      </c>
      <c r="M413" s="52">
        <v>376.08229999999998</v>
      </c>
      <c r="N413" s="5" t="s">
        <v>69</v>
      </c>
    </row>
    <row r="414" spans="1:14" x14ac:dyDescent="0.25">
      <c r="A414" s="51">
        <v>1.2030000000000001</v>
      </c>
      <c r="B414" s="52">
        <v>7164.3121000000001</v>
      </c>
      <c r="C414" s="52">
        <v>613.47730000000001</v>
      </c>
      <c r="D414" s="52">
        <v>0</v>
      </c>
      <c r="E414" s="52">
        <v>0</v>
      </c>
      <c r="F414" s="52">
        <v>1840.4318000000001</v>
      </c>
      <c r="G414" s="52">
        <v>613.47730000000001</v>
      </c>
      <c r="H414" s="52">
        <v>613.47730000000001</v>
      </c>
      <c r="I414" s="52">
        <v>1226.9545000000001</v>
      </c>
      <c r="J414" s="52">
        <v>376.08229999999998</v>
      </c>
      <c r="K414" s="52">
        <v>1128.2470000000001</v>
      </c>
      <c r="L414" s="52">
        <v>376.08229999999998</v>
      </c>
      <c r="M414" s="52">
        <v>376.08229999999998</v>
      </c>
      <c r="N414" s="5" t="s">
        <v>69</v>
      </c>
    </row>
    <row r="415" spans="1:14" x14ac:dyDescent="0.25">
      <c r="A415" s="51">
        <v>1.204</v>
      </c>
      <c r="B415" s="52">
        <v>7168.3918000000003</v>
      </c>
      <c r="C415" s="52">
        <v>613.98720000000003</v>
      </c>
      <c r="D415" s="52">
        <v>0</v>
      </c>
      <c r="E415" s="52">
        <v>0</v>
      </c>
      <c r="F415" s="52">
        <v>1841.9617000000001</v>
      </c>
      <c r="G415" s="52">
        <v>613.98720000000003</v>
      </c>
      <c r="H415" s="52">
        <v>613.98720000000003</v>
      </c>
      <c r="I415" s="52">
        <v>1227.9744000000001</v>
      </c>
      <c r="J415" s="52">
        <v>376.08229999999998</v>
      </c>
      <c r="K415" s="52">
        <v>1128.2470000000001</v>
      </c>
      <c r="L415" s="52">
        <v>376.08229999999998</v>
      </c>
      <c r="M415" s="52">
        <v>376.08229999999998</v>
      </c>
      <c r="N415" s="5" t="s">
        <v>69</v>
      </c>
    </row>
    <row r="416" spans="1:14" x14ac:dyDescent="0.25">
      <c r="A416" s="51">
        <v>1.2050000000000001</v>
      </c>
      <c r="B416" s="52">
        <v>7172.4714000000004</v>
      </c>
      <c r="C416" s="52">
        <v>614.49720000000002</v>
      </c>
      <c r="D416" s="52">
        <v>0</v>
      </c>
      <c r="E416" s="52">
        <v>0</v>
      </c>
      <c r="F416" s="52">
        <v>1843.4915000000001</v>
      </c>
      <c r="G416" s="52">
        <v>614.49720000000002</v>
      </c>
      <c r="H416" s="52">
        <v>614.49720000000002</v>
      </c>
      <c r="I416" s="52">
        <v>1228.9944</v>
      </c>
      <c r="J416" s="52">
        <v>376.08229999999998</v>
      </c>
      <c r="K416" s="52">
        <v>1128.2470000000001</v>
      </c>
      <c r="L416" s="52">
        <v>376.08229999999998</v>
      </c>
      <c r="M416" s="52">
        <v>376.08229999999998</v>
      </c>
      <c r="N416" s="5" t="s">
        <v>69</v>
      </c>
    </row>
    <row r="417" spans="1:14" x14ac:dyDescent="0.25">
      <c r="A417" s="51">
        <v>1.206</v>
      </c>
      <c r="B417" s="52">
        <v>7176.5510999999997</v>
      </c>
      <c r="C417" s="52">
        <v>615.00710000000004</v>
      </c>
      <c r="D417" s="52">
        <v>0</v>
      </c>
      <c r="E417" s="52">
        <v>0</v>
      </c>
      <c r="F417" s="52">
        <v>1845.0214000000001</v>
      </c>
      <c r="G417" s="52">
        <v>615.00710000000004</v>
      </c>
      <c r="H417" s="52">
        <v>615.00710000000004</v>
      </c>
      <c r="I417" s="52">
        <v>1230.0143</v>
      </c>
      <c r="J417" s="52">
        <v>376.08229999999998</v>
      </c>
      <c r="K417" s="52">
        <v>1128.2470000000001</v>
      </c>
      <c r="L417" s="52">
        <v>376.08229999999998</v>
      </c>
      <c r="M417" s="52">
        <v>376.08229999999998</v>
      </c>
      <c r="N417" s="5" t="s">
        <v>69</v>
      </c>
    </row>
    <row r="418" spans="1:14" x14ac:dyDescent="0.25">
      <c r="A418" s="51">
        <v>1.2070000000000001</v>
      </c>
      <c r="B418" s="52">
        <v>7180.6306999999997</v>
      </c>
      <c r="C418" s="52">
        <v>615.51710000000003</v>
      </c>
      <c r="D418" s="52">
        <v>0</v>
      </c>
      <c r="E418" s="52">
        <v>0</v>
      </c>
      <c r="F418" s="52">
        <v>1846.5513000000001</v>
      </c>
      <c r="G418" s="52">
        <v>615.51710000000003</v>
      </c>
      <c r="H418" s="52">
        <v>615.51710000000003</v>
      </c>
      <c r="I418" s="52">
        <v>1231.0342000000001</v>
      </c>
      <c r="J418" s="52">
        <v>376.08229999999998</v>
      </c>
      <c r="K418" s="52">
        <v>1128.2470000000001</v>
      </c>
      <c r="L418" s="52">
        <v>376.08229999999998</v>
      </c>
      <c r="M418" s="52">
        <v>376.08229999999998</v>
      </c>
      <c r="N418" s="5" t="s">
        <v>69</v>
      </c>
    </row>
    <row r="419" spans="1:14" x14ac:dyDescent="0.25">
      <c r="A419" s="51">
        <v>1.208</v>
      </c>
      <c r="B419" s="52">
        <v>7184.7103999999999</v>
      </c>
      <c r="C419" s="52">
        <v>616.02700000000004</v>
      </c>
      <c r="D419" s="52">
        <v>0</v>
      </c>
      <c r="E419" s="52">
        <v>0</v>
      </c>
      <c r="F419" s="52">
        <v>1848.0811000000001</v>
      </c>
      <c r="G419" s="52">
        <v>616.02700000000004</v>
      </c>
      <c r="H419" s="52">
        <v>616.02700000000004</v>
      </c>
      <c r="I419" s="52">
        <v>1232.0541000000001</v>
      </c>
      <c r="J419" s="52">
        <v>376.08229999999998</v>
      </c>
      <c r="K419" s="52">
        <v>1128.2470000000001</v>
      </c>
      <c r="L419" s="52">
        <v>376.08229999999998</v>
      </c>
      <c r="M419" s="52">
        <v>376.08229999999998</v>
      </c>
      <c r="N419" s="5" t="s">
        <v>69</v>
      </c>
    </row>
    <row r="420" spans="1:14" x14ac:dyDescent="0.25">
      <c r="A420" s="51">
        <v>1.2090000000000001</v>
      </c>
      <c r="B420" s="52">
        <v>7188.79</v>
      </c>
      <c r="C420" s="52">
        <v>616.53700000000003</v>
      </c>
      <c r="D420" s="52">
        <v>0</v>
      </c>
      <c r="E420" s="52">
        <v>0</v>
      </c>
      <c r="F420" s="52">
        <v>1849.6110000000001</v>
      </c>
      <c r="G420" s="52">
        <v>616.53700000000003</v>
      </c>
      <c r="H420" s="52">
        <v>616.53700000000003</v>
      </c>
      <c r="I420" s="52">
        <v>1233.0740000000001</v>
      </c>
      <c r="J420" s="52">
        <v>376.08229999999998</v>
      </c>
      <c r="K420" s="52">
        <v>1128.2470000000001</v>
      </c>
      <c r="L420" s="52">
        <v>376.08229999999998</v>
      </c>
      <c r="M420" s="52">
        <v>376.08229999999998</v>
      </c>
      <c r="N420" s="5" t="s">
        <v>69</v>
      </c>
    </row>
    <row r="421" spans="1:14" x14ac:dyDescent="0.25">
      <c r="A421" s="51">
        <v>1.21</v>
      </c>
      <c r="B421" s="52">
        <v>7192.8697000000002</v>
      </c>
      <c r="C421" s="52">
        <v>617.04700000000003</v>
      </c>
      <c r="D421" s="52">
        <v>0</v>
      </c>
      <c r="E421" s="52">
        <v>0</v>
      </c>
      <c r="F421" s="52">
        <v>1851.1409000000001</v>
      </c>
      <c r="G421" s="52">
        <v>617.04700000000003</v>
      </c>
      <c r="H421" s="52">
        <v>617.04700000000003</v>
      </c>
      <c r="I421" s="52">
        <v>1234.0939000000001</v>
      </c>
      <c r="J421" s="52">
        <v>376.08229999999998</v>
      </c>
      <c r="K421" s="52">
        <v>1128.2470000000001</v>
      </c>
      <c r="L421" s="52">
        <v>376.08229999999998</v>
      </c>
      <c r="M421" s="52">
        <v>376.08229999999998</v>
      </c>
      <c r="N421" s="5" t="s">
        <v>69</v>
      </c>
    </row>
    <row r="422" spans="1:14" x14ac:dyDescent="0.25">
      <c r="A422" s="51">
        <v>1.2110000000000001</v>
      </c>
      <c r="B422" s="52">
        <v>7196.9493000000002</v>
      </c>
      <c r="C422" s="52">
        <v>617.55690000000004</v>
      </c>
      <c r="D422" s="52">
        <v>0</v>
      </c>
      <c r="E422" s="52">
        <v>0</v>
      </c>
      <c r="F422" s="52">
        <v>1852.6706999999999</v>
      </c>
      <c r="G422" s="52">
        <v>617.55690000000004</v>
      </c>
      <c r="H422" s="52">
        <v>617.55690000000004</v>
      </c>
      <c r="I422" s="52">
        <v>1235.1138000000001</v>
      </c>
      <c r="J422" s="52">
        <v>376.08229999999998</v>
      </c>
      <c r="K422" s="52">
        <v>1128.2470000000001</v>
      </c>
      <c r="L422" s="52">
        <v>376.08229999999998</v>
      </c>
      <c r="M422" s="52">
        <v>376.08229999999998</v>
      </c>
      <c r="N422" s="5" t="s">
        <v>69</v>
      </c>
    </row>
    <row r="423" spans="1:14" x14ac:dyDescent="0.25">
      <c r="A423" s="51">
        <v>1.212</v>
      </c>
      <c r="B423" s="52">
        <v>7201.0290000000005</v>
      </c>
      <c r="C423" s="52">
        <v>618.06690000000003</v>
      </c>
      <c r="D423" s="52">
        <v>0</v>
      </c>
      <c r="E423" s="52">
        <v>0</v>
      </c>
      <c r="F423" s="52">
        <v>1854.2005999999999</v>
      </c>
      <c r="G423" s="52">
        <v>618.06690000000003</v>
      </c>
      <c r="H423" s="52">
        <v>618.06690000000003</v>
      </c>
      <c r="I423" s="52">
        <v>1236.1337000000001</v>
      </c>
      <c r="J423" s="52">
        <v>376.08229999999998</v>
      </c>
      <c r="K423" s="52">
        <v>1128.2470000000001</v>
      </c>
      <c r="L423" s="52">
        <v>376.08229999999998</v>
      </c>
      <c r="M423" s="52">
        <v>376.08229999999998</v>
      </c>
      <c r="N423" s="5" t="s">
        <v>69</v>
      </c>
    </row>
    <row r="424" spans="1:14" x14ac:dyDescent="0.25">
      <c r="A424" s="51">
        <v>1.2130000000000001</v>
      </c>
      <c r="B424" s="52">
        <v>7205.1085999999996</v>
      </c>
      <c r="C424" s="52">
        <v>618.57680000000005</v>
      </c>
      <c r="D424" s="52">
        <v>0</v>
      </c>
      <c r="E424" s="52">
        <v>0</v>
      </c>
      <c r="F424" s="52">
        <v>1855.7304999999999</v>
      </c>
      <c r="G424" s="52">
        <v>618.57680000000005</v>
      </c>
      <c r="H424" s="52">
        <v>618.57680000000005</v>
      </c>
      <c r="I424" s="52">
        <v>1237.1537000000001</v>
      </c>
      <c r="J424" s="52">
        <v>376.08229999999998</v>
      </c>
      <c r="K424" s="52">
        <v>1128.2470000000001</v>
      </c>
      <c r="L424" s="52">
        <v>376.08229999999998</v>
      </c>
      <c r="M424" s="52">
        <v>376.08229999999998</v>
      </c>
      <c r="N424" s="5" t="s">
        <v>69</v>
      </c>
    </row>
    <row r="425" spans="1:14" x14ac:dyDescent="0.25">
      <c r="A425" s="51">
        <v>1.214</v>
      </c>
      <c r="B425" s="52">
        <v>7209.1882999999998</v>
      </c>
      <c r="C425" s="52">
        <v>619.08680000000004</v>
      </c>
      <c r="D425" s="52">
        <v>0</v>
      </c>
      <c r="E425" s="52">
        <v>0</v>
      </c>
      <c r="F425" s="52">
        <v>1857.2603999999999</v>
      </c>
      <c r="G425" s="52">
        <v>619.08680000000004</v>
      </c>
      <c r="H425" s="52">
        <v>619.08680000000004</v>
      </c>
      <c r="I425" s="52">
        <v>1238.1736000000001</v>
      </c>
      <c r="J425" s="52">
        <v>376.08229999999998</v>
      </c>
      <c r="K425" s="52">
        <v>1128.2470000000001</v>
      </c>
      <c r="L425" s="52">
        <v>376.08229999999998</v>
      </c>
      <c r="M425" s="52">
        <v>376.08229999999998</v>
      </c>
      <c r="N425" s="5" t="s">
        <v>69</v>
      </c>
    </row>
    <row r="426" spans="1:14" x14ac:dyDescent="0.25">
      <c r="A426" s="51">
        <v>1.2150000000000001</v>
      </c>
      <c r="B426" s="52">
        <v>7213.2678999999998</v>
      </c>
      <c r="C426" s="52">
        <v>619.59670000000006</v>
      </c>
      <c r="D426" s="52">
        <v>0</v>
      </c>
      <c r="E426" s="52">
        <v>0</v>
      </c>
      <c r="F426" s="52">
        <v>1858.7901999999999</v>
      </c>
      <c r="G426" s="52">
        <v>619.59670000000006</v>
      </c>
      <c r="H426" s="52">
        <v>619.59670000000006</v>
      </c>
      <c r="I426" s="52">
        <v>1239.1935000000001</v>
      </c>
      <c r="J426" s="52">
        <v>376.08229999999998</v>
      </c>
      <c r="K426" s="52">
        <v>1128.2470000000001</v>
      </c>
      <c r="L426" s="52">
        <v>376.08229999999998</v>
      </c>
      <c r="M426" s="52">
        <v>376.08229999999998</v>
      </c>
      <c r="N426" s="5" t="s">
        <v>69</v>
      </c>
    </row>
    <row r="427" spans="1:14" x14ac:dyDescent="0.25">
      <c r="A427" s="51">
        <v>1.216</v>
      </c>
      <c r="B427" s="52">
        <v>7217.3476000000001</v>
      </c>
      <c r="C427" s="52">
        <v>620.10670000000005</v>
      </c>
      <c r="D427" s="52">
        <v>0</v>
      </c>
      <c r="E427" s="52">
        <v>0</v>
      </c>
      <c r="F427" s="52">
        <v>1860.3200999999999</v>
      </c>
      <c r="G427" s="52">
        <v>620.10670000000005</v>
      </c>
      <c r="H427" s="52">
        <v>620.10670000000005</v>
      </c>
      <c r="I427" s="52">
        <v>1240.2134000000001</v>
      </c>
      <c r="J427" s="52">
        <v>376.08229999999998</v>
      </c>
      <c r="K427" s="52">
        <v>1128.2470000000001</v>
      </c>
      <c r="L427" s="52">
        <v>376.08229999999998</v>
      </c>
      <c r="M427" s="52">
        <v>376.08229999999998</v>
      </c>
      <c r="N427" s="5" t="s">
        <v>69</v>
      </c>
    </row>
    <row r="428" spans="1:14" x14ac:dyDescent="0.25">
      <c r="A428" s="51">
        <v>1.2170000000000001</v>
      </c>
      <c r="B428" s="52">
        <v>7221.4272000000001</v>
      </c>
      <c r="C428" s="52">
        <v>620.61670000000004</v>
      </c>
      <c r="D428" s="52">
        <v>0</v>
      </c>
      <c r="E428" s="52">
        <v>0</v>
      </c>
      <c r="F428" s="52">
        <v>1861.85</v>
      </c>
      <c r="G428" s="52">
        <v>620.61670000000004</v>
      </c>
      <c r="H428" s="52">
        <v>620.61670000000004</v>
      </c>
      <c r="I428" s="52">
        <v>1241.2333000000001</v>
      </c>
      <c r="J428" s="52">
        <v>376.08229999999998</v>
      </c>
      <c r="K428" s="52">
        <v>1128.2470000000001</v>
      </c>
      <c r="L428" s="52">
        <v>376.08229999999998</v>
      </c>
      <c r="M428" s="52">
        <v>376.08229999999998</v>
      </c>
      <c r="N428" s="5" t="s">
        <v>69</v>
      </c>
    </row>
    <row r="429" spans="1:14" x14ac:dyDescent="0.25">
      <c r="A429" s="51">
        <v>1.218</v>
      </c>
      <c r="B429" s="52">
        <v>7225.5069000000003</v>
      </c>
      <c r="C429" s="52">
        <v>621.12660000000005</v>
      </c>
      <c r="D429" s="52">
        <v>0</v>
      </c>
      <c r="E429" s="52">
        <v>0</v>
      </c>
      <c r="F429" s="52">
        <v>1863.3797999999999</v>
      </c>
      <c r="G429" s="52">
        <v>621.12660000000005</v>
      </c>
      <c r="H429" s="52">
        <v>621.12660000000005</v>
      </c>
      <c r="I429" s="52">
        <v>1242.2532000000001</v>
      </c>
      <c r="J429" s="52">
        <v>376.08229999999998</v>
      </c>
      <c r="K429" s="52">
        <v>1128.2470000000001</v>
      </c>
      <c r="L429" s="52">
        <v>376.08229999999998</v>
      </c>
      <c r="M429" s="52">
        <v>376.08229999999998</v>
      </c>
      <c r="N429" s="5" t="s">
        <v>69</v>
      </c>
    </row>
    <row r="430" spans="1:14" x14ac:dyDescent="0.25">
      <c r="A430" s="51">
        <v>1.2190000000000001</v>
      </c>
      <c r="B430" s="52">
        <v>7229.5865000000003</v>
      </c>
      <c r="C430" s="52">
        <v>621.63660000000004</v>
      </c>
      <c r="D430" s="52">
        <v>0</v>
      </c>
      <c r="E430" s="52">
        <v>0</v>
      </c>
      <c r="F430" s="52">
        <v>1864.9096999999999</v>
      </c>
      <c r="G430" s="52">
        <v>621.63660000000004</v>
      </c>
      <c r="H430" s="52">
        <v>621.63660000000004</v>
      </c>
      <c r="I430" s="52">
        <v>1243.2731000000001</v>
      </c>
      <c r="J430" s="52">
        <v>376.08229999999998</v>
      </c>
      <c r="K430" s="52">
        <v>1128.2470000000001</v>
      </c>
      <c r="L430" s="52">
        <v>376.08229999999998</v>
      </c>
      <c r="M430" s="52">
        <v>376.08229999999998</v>
      </c>
      <c r="N430" s="5" t="s">
        <v>69</v>
      </c>
    </row>
    <row r="431" spans="1:14" x14ac:dyDescent="0.25">
      <c r="A431" s="51">
        <v>1.22</v>
      </c>
      <c r="B431" s="52">
        <v>7233.6661999999997</v>
      </c>
      <c r="C431" s="52">
        <v>622.14649999999995</v>
      </c>
      <c r="D431" s="52">
        <v>0</v>
      </c>
      <c r="E431" s="52">
        <v>0</v>
      </c>
      <c r="F431" s="52">
        <v>1866.4395999999999</v>
      </c>
      <c r="G431" s="52">
        <v>622.14649999999995</v>
      </c>
      <c r="H431" s="52">
        <v>622.14649999999995</v>
      </c>
      <c r="I431" s="52">
        <v>1244.2929999999999</v>
      </c>
      <c r="J431" s="52">
        <v>376.08229999999998</v>
      </c>
      <c r="K431" s="52">
        <v>1128.2470000000001</v>
      </c>
      <c r="L431" s="52">
        <v>376.08229999999998</v>
      </c>
      <c r="M431" s="52">
        <v>376.08229999999998</v>
      </c>
      <c r="N431" s="5" t="s">
        <v>69</v>
      </c>
    </row>
    <row r="432" spans="1:14" x14ac:dyDescent="0.25">
      <c r="A432" s="51">
        <v>1.2210000000000001</v>
      </c>
      <c r="B432" s="52">
        <v>7237.7457999999997</v>
      </c>
      <c r="C432" s="52">
        <v>622.65650000000005</v>
      </c>
      <c r="D432" s="52">
        <v>0</v>
      </c>
      <c r="E432" s="52">
        <v>0</v>
      </c>
      <c r="F432" s="52">
        <v>1867.9694</v>
      </c>
      <c r="G432" s="52">
        <v>622.65650000000005</v>
      </c>
      <c r="H432" s="52">
        <v>622.65650000000005</v>
      </c>
      <c r="I432" s="52">
        <v>1245.3130000000001</v>
      </c>
      <c r="J432" s="52">
        <v>376.08229999999998</v>
      </c>
      <c r="K432" s="52">
        <v>1128.2470000000001</v>
      </c>
      <c r="L432" s="52">
        <v>376.08229999999998</v>
      </c>
      <c r="M432" s="52">
        <v>376.08229999999998</v>
      </c>
      <c r="N432" s="5" t="s">
        <v>69</v>
      </c>
    </row>
    <row r="433" spans="1:14" x14ac:dyDescent="0.25">
      <c r="A433" s="51">
        <v>1.222</v>
      </c>
      <c r="B433" s="52">
        <v>7241.8254999999999</v>
      </c>
      <c r="C433" s="52">
        <v>623.16639999999995</v>
      </c>
      <c r="D433" s="52">
        <v>0</v>
      </c>
      <c r="E433" s="52">
        <v>0</v>
      </c>
      <c r="F433" s="52">
        <v>1869.4992999999999</v>
      </c>
      <c r="G433" s="52">
        <v>623.16639999999995</v>
      </c>
      <c r="H433" s="52">
        <v>623.16639999999995</v>
      </c>
      <c r="I433" s="52">
        <v>1246.3329000000001</v>
      </c>
      <c r="J433" s="52">
        <v>376.08229999999998</v>
      </c>
      <c r="K433" s="52">
        <v>1128.2470000000001</v>
      </c>
      <c r="L433" s="52">
        <v>376.08229999999998</v>
      </c>
      <c r="M433" s="52">
        <v>376.08229999999998</v>
      </c>
      <c r="N433" s="5" t="s">
        <v>69</v>
      </c>
    </row>
    <row r="434" spans="1:14" x14ac:dyDescent="0.25">
      <c r="A434" s="51">
        <v>1.2230000000000001</v>
      </c>
      <c r="B434" s="52">
        <v>7245.9050999999999</v>
      </c>
      <c r="C434" s="52">
        <v>623.67639999999994</v>
      </c>
      <c r="D434" s="52">
        <v>0</v>
      </c>
      <c r="E434" s="52">
        <v>0</v>
      </c>
      <c r="F434" s="52">
        <v>1871.0291999999999</v>
      </c>
      <c r="G434" s="52">
        <v>623.67639999999994</v>
      </c>
      <c r="H434" s="52">
        <v>623.67639999999994</v>
      </c>
      <c r="I434" s="52">
        <v>1247.3527999999999</v>
      </c>
      <c r="J434" s="52">
        <v>376.08229999999998</v>
      </c>
      <c r="K434" s="52">
        <v>1128.2470000000001</v>
      </c>
      <c r="L434" s="52">
        <v>376.08229999999998</v>
      </c>
      <c r="M434" s="52">
        <v>376.08229999999998</v>
      </c>
      <c r="N434" s="5" t="s">
        <v>69</v>
      </c>
    </row>
    <row r="435" spans="1:14" x14ac:dyDescent="0.25">
      <c r="A435" s="51">
        <v>1.224</v>
      </c>
      <c r="B435" s="52">
        <v>7249.9848000000002</v>
      </c>
      <c r="C435" s="52">
        <v>624.18629999999996</v>
      </c>
      <c r="D435" s="52">
        <v>0</v>
      </c>
      <c r="E435" s="52">
        <v>0</v>
      </c>
      <c r="F435" s="52">
        <v>1872.559</v>
      </c>
      <c r="G435" s="52">
        <v>624.18629999999996</v>
      </c>
      <c r="H435" s="52">
        <v>624.18629999999996</v>
      </c>
      <c r="I435" s="52">
        <v>1248.3726999999999</v>
      </c>
      <c r="J435" s="52">
        <v>376.08229999999998</v>
      </c>
      <c r="K435" s="52">
        <v>1128.2470000000001</v>
      </c>
      <c r="L435" s="52">
        <v>376.08229999999998</v>
      </c>
      <c r="M435" s="52">
        <v>376.08229999999998</v>
      </c>
      <c r="N435" s="5" t="s">
        <v>69</v>
      </c>
    </row>
    <row r="436" spans="1:14" x14ac:dyDescent="0.25">
      <c r="A436" s="51">
        <v>1.2250000000000001</v>
      </c>
      <c r="B436" s="52">
        <v>7254.0644000000002</v>
      </c>
      <c r="C436" s="52">
        <v>624.69629999999995</v>
      </c>
      <c r="D436" s="52">
        <v>0</v>
      </c>
      <c r="E436" s="52">
        <v>0</v>
      </c>
      <c r="F436" s="52">
        <v>1874.0889</v>
      </c>
      <c r="G436" s="52">
        <v>624.69629999999995</v>
      </c>
      <c r="H436" s="52">
        <v>624.69629999999995</v>
      </c>
      <c r="I436" s="52">
        <v>1249.3925999999999</v>
      </c>
      <c r="J436" s="52">
        <v>376.08229999999998</v>
      </c>
      <c r="K436" s="52">
        <v>1128.2470000000001</v>
      </c>
      <c r="L436" s="52">
        <v>376.08229999999998</v>
      </c>
      <c r="M436" s="52">
        <v>376.08229999999998</v>
      </c>
      <c r="N436" s="5" t="s">
        <v>69</v>
      </c>
    </row>
    <row r="437" spans="1:14" x14ac:dyDescent="0.25">
      <c r="A437" s="51">
        <v>1.226</v>
      </c>
      <c r="B437" s="52">
        <v>7258.1441000000004</v>
      </c>
      <c r="C437" s="52">
        <v>625.20630000000006</v>
      </c>
      <c r="D437" s="52">
        <v>0</v>
      </c>
      <c r="E437" s="52">
        <v>0</v>
      </c>
      <c r="F437" s="52">
        <v>1875.6188</v>
      </c>
      <c r="G437" s="52">
        <v>625.20630000000006</v>
      </c>
      <c r="H437" s="52">
        <v>625.20630000000006</v>
      </c>
      <c r="I437" s="52">
        <v>1250.4124999999999</v>
      </c>
      <c r="J437" s="52">
        <v>376.08229999999998</v>
      </c>
      <c r="K437" s="52">
        <v>1128.2470000000001</v>
      </c>
      <c r="L437" s="52">
        <v>376.08229999999998</v>
      </c>
      <c r="M437" s="52">
        <v>376.08229999999998</v>
      </c>
      <c r="N437" s="5" t="s">
        <v>69</v>
      </c>
    </row>
    <row r="438" spans="1:14" x14ac:dyDescent="0.25">
      <c r="A438" s="51">
        <v>1.2270000000000001</v>
      </c>
      <c r="B438" s="52">
        <v>7262.2236999999996</v>
      </c>
      <c r="C438" s="52">
        <v>625.71619999999996</v>
      </c>
      <c r="D438" s="52">
        <v>0</v>
      </c>
      <c r="E438" s="52">
        <v>0</v>
      </c>
      <c r="F438" s="52">
        <v>1877.1486</v>
      </c>
      <c r="G438" s="52">
        <v>625.71619999999996</v>
      </c>
      <c r="H438" s="52">
        <v>625.71619999999996</v>
      </c>
      <c r="I438" s="52">
        <v>1251.4323999999999</v>
      </c>
      <c r="J438" s="52">
        <v>376.08229999999998</v>
      </c>
      <c r="K438" s="52">
        <v>1128.2470000000001</v>
      </c>
      <c r="L438" s="52">
        <v>376.08229999999998</v>
      </c>
      <c r="M438" s="52">
        <v>376.08229999999998</v>
      </c>
      <c r="N438" s="5" t="s">
        <v>69</v>
      </c>
    </row>
    <row r="439" spans="1:14" x14ac:dyDescent="0.25">
      <c r="A439" s="51">
        <v>1.228</v>
      </c>
      <c r="B439" s="52">
        <v>7266.3033999999998</v>
      </c>
      <c r="C439" s="52">
        <v>626.22619999999995</v>
      </c>
      <c r="D439" s="52">
        <v>0</v>
      </c>
      <c r="E439" s="52">
        <v>0</v>
      </c>
      <c r="F439" s="52">
        <v>1878.6785</v>
      </c>
      <c r="G439" s="52">
        <v>626.22619999999995</v>
      </c>
      <c r="H439" s="52">
        <v>626.22619999999995</v>
      </c>
      <c r="I439" s="52">
        <v>1252.4522999999999</v>
      </c>
      <c r="J439" s="52">
        <v>376.08229999999998</v>
      </c>
      <c r="K439" s="52">
        <v>1128.2470000000001</v>
      </c>
      <c r="L439" s="52">
        <v>376.08229999999998</v>
      </c>
      <c r="M439" s="52">
        <v>376.08229999999998</v>
      </c>
      <c r="N439" s="5" t="s">
        <v>69</v>
      </c>
    </row>
    <row r="440" spans="1:14" x14ac:dyDescent="0.25">
      <c r="A440" s="51">
        <v>1.2290000000000001</v>
      </c>
      <c r="B440" s="52">
        <v>7270.3829999999998</v>
      </c>
      <c r="C440" s="52">
        <v>626.73609999999996</v>
      </c>
      <c r="D440" s="52">
        <v>0</v>
      </c>
      <c r="E440" s="52">
        <v>0</v>
      </c>
      <c r="F440" s="52">
        <v>1880.2084</v>
      </c>
      <c r="G440" s="52">
        <v>626.73609999999996</v>
      </c>
      <c r="H440" s="52">
        <v>626.73609999999996</v>
      </c>
      <c r="I440" s="52">
        <v>1253.4722999999999</v>
      </c>
      <c r="J440" s="52">
        <v>376.08229999999998</v>
      </c>
      <c r="K440" s="52">
        <v>1128.2470000000001</v>
      </c>
      <c r="L440" s="52">
        <v>376.08229999999998</v>
      </c>
      <c r="M440" s="52">
        <v>376.08229999999998</v>
      </c>
      <c r="N440" s="5" t="s">
        <v>69</v>
      </c>
    </row>
    <row r="441" spans="1:14" x14ac:dyDescent="0.25">
      <c r="A441" s="51">
        <v>1.23</v>
      </c>
      <c r="B441" s="52">
        <v>7274.4627</v>
      </c>
      <c r="C441" s="52">
        <v>627.24609999999996</v>
      </c>
      <c r="D441" s="52">
        <v>0</v>
      </c>
      <c r="E441" s="52">
        <v>0</v>
      </c>
      <c r="F441" s="52">
        <v>1881.7382</v>
      </c>
      <c r="G441" s="52">
        <v>627.24609999999996</v>
      </c>
      <c r="H441" s="52">
        <v>627.24609999999996</v>
      </c>
      <c r="I441" s="52">
        <v>1254.4921999999999</v>
      </c>
      <c r="J441" s="52">
        <v>376.08229999999998</v>
      </c>
      <c r="K441" s="52">
        <v>1128.2470000000001</v>
      </c>
      <c r="L441" s="52">
        <v>376.08229999999998</v>
      </c>
      <c r="M441" s="52">
        <v>376.08229999999998</v>
      </c>
      <c r="N441" s="5" t="s">
        <v>69</v>
      </c>
    </row>
    <row r="442" spans="1:14" x14ac:dyDescent="0.25">
      <c r="A442" s="51">
        <v>1.2310000000000001</v>
      </c>
      <c r="B442" s="52">
        <v>7278.5423000000001</v>
      </c>
      <c r="C442" s="52">
        <v>627.75599999999997</v>
      </c>
      <c r="D442" s="52">
        <v>0</v>
      </c>
      <c r="E442" s="52">
        <v>0</v>
      </c>
      <c r="F442" s="52">
        <v>1883.2681</v>
      </c>
      <c r="G442" s="52">
        <v>627.75599999999997</v>
      </c>
      <c r="H442" s="52">
        <v>627.75599999999997</v>
      </c>
      <c r="I442" s="52">
        <v>1255.5120999999999</v>
      </c>
      <c r="J442" s="52">
        <v>376.08229999999998</v>
      </c>
      <c r="K442" s="52">
        <v>1128.2470000000001</v>
      </c>
      <c r="L442" s="52">
        <v>376.08229999999998</v>
      </c>
      <c r="M442" s="52">
        <v>376.08229999999998</v>
      </c>
      <c r="N442" s="5" t="s">
        <v>69</v>
      </c>
    </row>
    <row r="443" spans="1:14" x14ac:dyDescent="0.25">
      <c r="A443" s="51">
        <v>1.232</v>
      </c>
      <c r="B443" s="52">
        <v>7282.6220000000003</v>
      </c>
      <c r="C443" s="52">
        <v>628.26599999999996</v>
      </c>
      <c r="D443" s="52">
        <v>0</v>
      </c>
      <c r="E443" s="52">
        <v>0</v>
      </c>
      <c r="F443" s="52">
        <v>1884.798</v>
      </c>
      <c r="G443" s="52">
        <v>628.26599999999996</v>
      </c>
      <c r="H443" s="52">
        <v>628.26599999999996</v>
      </c>
      <c r="I443" s="52">
        <v>1256.5319999999999</v>
      </c>
      <c r="J443" s="52">
        <v>376.08229999999998</v>
      </c>
      <c r="K443" s="52">
        <v>1128.2470000000001</v>
      </c>
      <c r="L443" s="52">
        <v>376.08229999999998</v>
      </c>
      <c r="M443" s="52">
        <v>376.08229999999998</v>
      </c>
      <c r="N443" s="5" t="s">
        <v>69</v>
      </c>
    </row>
    <row r="444" spans="1:14" x14ac:dyDescent="0.25">
      <c r="A444" s="51">
        <v>1.2330000000000001</v>
      </c>
      <c r="B444" s="52">
        <v>7286.7016000000003</v>
      </c>
      <c r="C444" s="52">
        <v>628.77599999999995</v>
      </c>
      <c r="D444" s="52">
        <v>0</v>
      </c>
      <c r="E444" s="52">
        <v>0</v>
      </c>
      <c r="F444" s="52">
        <v>1886.3279</v>
      </c>
      <c r="G444" s="52">
        <v>628.77599999999995</v>
      </c>
      <c r="H444" s="52">
        <v>628.77599999999995</v>
      </c>
      <c r="I444" s="52">
        <v>1257.5518999999999</v>
      </c>
      <c r="J444" s="52">
        <v>376.08229999999998</v>
      </c>
      <c r="K444" s="52">
        <v>1128.2470000000001</v>
      </c>
      <c r="L444" s="52">
        <v>376.08229999999998</v>
      </c>
      <c r="M444" s="52">
        <v>376.08229999999998</v>
      </c>
      <c r="N444" s="5" t="s">
        <v>69</v>
      </c>
    </row>
    <row r="445" spans="1:14" x14ac:dyDescent="0.25">
      <c r="A445" s="51">
        <v>1.234</v>
      </c>
      <c r="B445" s="52">
        <v>7290.7812000000004</v>
      </c>
      <c r="C445" s="52">
        <v>629.28589999999997</v>
      </c>
      <c r="D445" s="52">
        <v>0</v>
      </c>
      <c r="E445" s="52">
        <v>0</v>
      </c>
      <c r="F445" s="52">
        <v>1887.8577</v>
      </c>
      <c r="G445" s="52">
        <v>629.28589999999997</v>
      </c>
      <c r="H445" s="52">
        <v>629.28589999999997</v>
      </c>
      <c r="I445" s="52">
        <v>1258.5717999999999</v>
      </c>
      <c r="J445" s="52">
        <v>376.08229999999998</v>
      </c>
      <c r="K445" s="52">
        <v>1128.2470000000001</v>
      </c>
      <c r="L445" s="52">
        <v>376.08229999999998</v>
      </c>
      <c r="M445" s="52">
        <v>376.08229999999998</v>
      </c>
      <c r="N445" s="5" t="s">
        <v>69</v>
      </c>
    </row>
    <row r="446" spans="1:14" x14ac:dyDescent="0.25">
      <c r="A446" s="51">
        <v>1.2350000000000001</v>
      </c>
      <c r="B446" s="52">
        <v>7294.8608999999997</v>
      </c>
      <c r="C446" s="52">
        <v>629.79589999999996</v>
      </c>
      <c r="D446" s="52">
        <v>0</v>
      </c>
      <c r="E446" s="52">
        <v>0</v>
      </c>
      <c r="F446" s="52">
        <v>1889.3876</v>
      </c>
      <c r="G446" s="52">
        <v>629.79589999999996</v>
      </c>
      <c r="H446" s="52">
        <v>629.79589999999996</v>
      </c>
      <c r="I446" s="52">
        <v>1259.5916999999999</v>
      </c>
      <c r="J446" s="52">
        <v>376.08229999999998</v>
      </c>
      <c r="K446" s="52">
        <v>1128.2470000000001</v>
      </c>
      <c r="L446" s="52">
        <v>376.08229999999998</v>
      </c>
      <c r="M446" s="52">
        <v>376.08229999999998</v>
      </c>
      <c r="N446" s="5" t="s">
        <v>69</v>
      </c>
    </row>
    <row r="447" spans="1:14" x14ac:dyDescent="0.25">
      <c r="A447" s="51">
        <v>1.236</v>
      </c>
      <c r="B447" s="52">
        <v>7298.9404999999997</v>
      </c>
      <c r="C447" s="52">
        <v>630.30579999999998</v>
      </c>
      <c r="D447" s="52">
        <v>0</v>
      </c>
      <c r="E447" s="52">
        <v>0</v>
      </c>
      <c r="F447" s="52">
        <v>1890.9175</v>
      </c>
      <c r="G447" s="52">
        <v>630.30579999999998</v>
      </c>
      <c r="H447" s="52">
        <v>630.30579999999998</v>
      </c>
      <c r="I447" s="52">
        <v>1260.6116</v>
      </c>
      <c r="J447" s="52">
        <v>376.08229999999998</v>
      </c>
      <c r="K447" s="52">
        <v>1128.2470000000001</v>
      </c>
      <c r="L447" s="52">
        <v>376.08229999999998</v>
      </c>
      <c r="M447" s="52">
        <v>376.08229999999998</v>
      </c>
      <c r="N447" s="5" t="s">
        <v>69</v>
      </c>
    </row>
    <row r="448" spans="1:14" x14ac:dyDescent="0.25">
      <c r="A448" s="51">
        <v>1.2370000000000001</v>
      </c>
      <c r="B448" s="52">
        <v>7303.0201999999999</v>
      </c>
      <c r="C448" s="52">
        <v>630.81579999999997</v>
      </c>
      <c r="D448" s="52">
        <v>0</v>
      </c>
      <c r="E448" s="52">
        <v>0</v>
      </c>
      <c r="F448" s="52">
        <v>1892.4473</v>
      </c>
      <c r="G448" s="52">
        <v>630.81579999999997</v>
      </c>
      <c r="H448" s="52">
        <v>630.81579999999997</v>
      </c>
      <c r="I448" s="52">
        <v>1261.6315999999999</v>
      </c>
      <c r="J448" s="52">
        <v>376.08229999999998</v>
      </c>
      <c r="K448" s="52">
        <v>1128.2470000000001</v>
      </c>
      <c r="L448" s="52">
        <v>376.08229999999998</v>
      </c>
      <c r="M448" s="52">
        <v>376.08229999999998</v>
      </c>
      <c r="N448" s="5" t="s">
        <v>69</v>
      </c>
    </row>
    <row r="449" spans="1:14" x14ac:dyDescent="0.25">
      <c r="A449" s="51">
        <v>1.238</v>
      </c>
      <c r="B449" s="52">
        <v>7307.0998</v>
      </c>
      <c r="C449" s="52">
        <v>631.32569999999998</v>
      </c>
      <c r="D449" s="52">
        <v>0</v>
      </c>
      <c r="E449" s="52">
        <v>0</v>
      </c>
      <c r="F449" s="52">
        <v>1893.9772</v>
      </c>
      <c r="G449" s="52">
        <v>631.32569999999998</v>
      </c>
      <c r="H449" s="52">
        <v>631.32569999999998</v>
      </c>
      <c r="I449" s="52">
        <v>1262.6514999999999</v>
      </c>
      <c r="J449" s="52">
        <v>376.08229999999998</v>
      </c>
      <c r="K449" s="52">
        <v>1128.2470000000001</v>
      </c>
      <c r="L449" s="52">
        <v>376.08229999999998</v>
      </c>
      <c r="M449" s="52">
        <v>376.08229999999998</v>
      </c>
      <c r="N449" s="5" t="s">
        <v>69</v>
      </c>
    </row>
    <row r="450" spans="1:14" x14ac:dyDescent="0.25">
      <c r="A450" s="51">
        <v>1.2390000000000001</v>
      </c>
      <c r="B450" s="52">
        <v>7311.1795000000002</v>
      </c>
      <c r="C450" s="52">
        <v>631.83569999999997</v>
      </c>
      <c r="D450" s="52">
        <v>0</v>
      </c>
      <c r="E450" s="52">
        <v>0</v>
      </c>
      <c r="F450" s="52">
        <v>1895.5071</v>
      </c>
      <c r="G450" s="52">
        <v>631.83569999999997</v>
      </c>
      <c r="H450" s="52">
        <v>631.83569999999997</v>
      </c>
      <c r="I450" s="52">
        <v>1263.6713999999999</v>
      </c>
      <c r="J450" s="52">
        <v>376.08229999999998</v>
      </c>
      <c r="K450" s="52">
        <v>1128.2470000000001</v>
      </c>
      <c r="L450" s="52">
        <v>376.08229999999998</v>
      </c>
      <c r="M450" s="52">
        <v>376.08229999999998</v>
      </c>
      <c r="N450" s="5" t="s">
        <v>69</v>
      </c>
    </row>
    <row r="451" spans="1:14" x14ac:dyDescent="0.25">
      <c r="A451" s="51">
        <v>1.24</v>
      </c>
      <c r="B451" s="52">
        <v>7315.2591000000002</v>
      </c>
      <c r="C451" s="52">
        <v>632.34559999999999</v>
      </c>
      <c r="D451" s="52">
        <v>0</v>
      </c>
      <c r="E451" s="52">
        <v>0</v>
      </c>
      <c r="F451" s="52">
        <v>1897.0369000000001</v>
      </c>
      <c r="G451" s="52">
        <v>632.34559999999999</v>
      </c>
      <c r="H451" s="52">
        <v>632.34559999999999</v>
      </c>
      <c r="I451" s="52">
        <v>1264.6913</v>
      </c>
      <c r="J451" s="52">
        <v>376.08229999999998</v>
      </c>
      <c r="K451" s="52">
        <v>1128.2470000000001</v>
      </c>
      <c r="L451" s="52">
        <v>376.08229999999998</v>
      </c>
      <c r="M451" s="52">
        <v>376.08229999999998</v>
      </c>
      <c r="N451" s="5" t="s">
        <v>69</v>
      </c>
    </row>
    <row r="452" spans="1:14" x14ac:dyDescent="0.25">
      <c r="A452" s="51">
        <v>1.2410000000000001</v>
      </c>
      <c r="B452" s="52">
        <v>7319.3388000000004</v>
      </c>
      <c r="C452" s="52">
        <v>632.85559999999998</v>
      </c>
      <c r="D452" s="52">
        <v>0</v>
      </c>
      <c r="E452" s="52">
        <v>0</v>
      </c>
      <c r="F452" s="52">
        <v>1898.5668000000001</v>
      </c>
      <c r="G452" s="52">
        <v>632.85559999999998</v>
      </c>
      <c r="H452" s="52">
        <v>632.85559999999998</v>
      </c>
      <c r="I452" s="52">
        <v>1265.7112</v>
      </c>
      <c r="J452" s="52">
        <v>376.08229999999998</v>
      </c>
      <c r="K452" s="52">
        <v>1128.2470000000001</v>
      </c>
      <c r="L452" s="52">
        <v>376.08229999999998</v>
      </c>
      <c r="M452" s="52">
        <v>376.08229999999998</v>
      </c>
      <c r="N452" s="5" t="s">
        <v>69</v>
      </c>
    </row>
    <row r="453" spans="1:14" x14ac:dyDescent="0.25">
      <c r="A453" s="51">
        <v>1.242</v>
      </c>
      <c r="B453" s="52">
        <v>7323.4183999999996</v>
      </c>
      <c r="C453" s="52">
        <v>633.36559999999997</v>
      </c>
      <c r="D453" s="52">
        <v>0</v>
      </c>
      <c r="E453" s="52">
        <v>0</v>
      </c>
      <c r="F453" s="52">
        <v>1900.0967000000001</v>
      </c>
      <c r="G453" s="52">
        <v>633.36559999999997</v>
      </c>
      <c r="H453" s="52">
        <v>633.36559999999997</v>
      </c>
      <c r="I453" s="52">
        <v>1266.7311</v>
      </c>
      <c r="J453" s="52">
        <v>376.08229999999998</v>
      </c>
      <c r="K453" s="52">
        <v>1128.2470000000001</v>
      </c>
      <c r="L453" s="52">
        <v>376.08229999999998</v>
      </c>
      <c r="M453" s="52">
        <v>376.08229999999998</v>
      </c>
      <c r="N453" s="5" t="s">
        <v>69</v>
      </c>
    </row>
    <row r="454" spans="1:14" x14ac:dyDescent="0.25">
      <c r="A454" s="51">
        <v>1.2430000000000001</v>
      </c>
      <c r="B454" s="52">
        <v>7327.4980999999998</v>
      </c>
      <c r="C454" s="52">
        <v>633.87549999999999</v>
      </c>
      <c r="D454" s="52">
        <v>0</v>
      </c>
      <c r="E454" s="52">
        <v>0</v>
      </c>
      <c r="F454" s="52">
        <v>1901.6265000000001</v>
      </c>
      <c r="G454" s="52">
        <v>633.87549999999999</v>
      </c>
      <c r="H454" s="52">
        <v>633.87549999999999</v>
      </c>
      <c r="I454" s="52">
        <v>1267.751</v>
      </c>
      <c r="J454" s="52">
        <v>376.08229999999998</v>
      </c>
      <c r="K454" s="52">
        <v>1128.2470000000001</v>
      </c>
      <c r="L454" s="52">
        <v>376.08229999999998</v>
      </c>
      <c r="M454" s="52">
        <v>376.08229999999998</v>
      </c>
      <c r="N454" s="5" t="s">
        <v>69</v>
      </c>
    </row>
    <row r="455" spans="1:14" x14ac:dyDescent="0.25">
      <c r="A455" s="51">
        <v>1.244</v>
      </c>
      <c r="B455" s="52">
        <v>7331.5776999999998</v>
      </c>
      <c r="C455" s="52">
        <v>634.38549999999998</v>
      </c>
      <c r="D455" s="52">
        <v>0</v>
      </c>
      <c r="E455" s="52">
        <v>0</v>
      </c>
      <c r="F455" s="52">
        <v>1903.1564000000001</v>
      </c>
      <c r="G455" s="52">
        <v>634.38549999999998</v>
      </c>
      <c r="H455" s="52">
        <v>634.38549999999998</v>
      </c>
      <c r="I455" s="52">
        <v>1268.7709</v>
      </c>
      <c r="J455" s="52">
        <v>376.08229999999998</v>
      </c>
      <c r="K455" s="52">
        <v>1128.2470000000001</v>
      </c>
      <c r="L455" s="52">
        <v>376.08229999999998</v>
      </c>
      <c r="M455" s="52">
        <v>376.08229999999998</v>
      </c>
      <c r="N455" s="5" t="s">
        <v>69</v>
      </c>
    </row>
    <row r="456" spans="1:14" x14ac:dyDescent="0.25">
      <c r="A456" s="51">
        <v>1.2450000000000001</v>
      </c>
      <c r="B456" s="52">
        <v>7335.6574000000001</v>
      </c>
      <c r="C456" s="52">
        <v>634.8954</v>
      </c>
      <c r="D456" s="52">
        <v>0</v>
      </c>
      <c r="E456" s="52">
        <v>0</v>
      </c>
      <c r="F456" s="52">
        <v>1904.6863000000001</v>
      </c>
      <c r="G456" s="52">
        <v>634.8954</v>
      </c>
      <c r="H456" s="52">
        <v>634.8954</v>
      </c>
      <c r="I456" s="52">
        <v>1269.7908</v>
      </c>
      <c r="J456" s="52">
        <v>376.08229999999998</v>
      </c>
      <c r="K456" s="52">
        <v>1128.2470000000001</v>
      </c>
      <c r="L456" s="52">
        <v>376.08229999999998</v>
      </c>
      <c r="M456" s="52">
        <v>376.08229999999998</v>
      </c>
      <c r="N456" s="5" t="s">
        <v>69</v>
      </c>
    </row>
    <row r="457" spans="1:14" x14ac:dyDescent="0.25">
      <c r="A457" s="51">
        <v>1.246</v>
      </c>
      <c r="B457" s="52">
        <v>7339.7370000000001</v>
      </c>
      <c r="C457" s="52">
        <v>635.40539999999999</v>
      </c>
      <c r="D457" s="52">
        <v>0</v>
      </c>
      <c r="E457" s="52">
        <v>0</v>
      </c>
      <c r="F457" s="52">
        <v>1906.2161000000001</v>
      </c>
      <c r="G457" s="52">
        <v>635.40539999999999</v>
      </c>
      <c r="H457" s="52">
        <v>635.40539999999999</v>
      </c>
      <c r="I457" s="52">
        <v>1270.8108</v>
      </c>
      <c r="J457" s="52">
        <v>376.08229999999998</v>
      </c>
      <c r="K457" s="52">
        <v>1128.2470000000001</v>
      </c>
      <c r="L457" s="52">
        <v>376.08229999999998</v>
      </c>
      <c r="M457" s="52">
        <v>376.08229999999998</v>
      </c>
      <c r="N457" s="5" t="s">
        <v>69</v>
      </c>
    </row>
    <row r="458" spans="1:14" x14ac:dyDescent="0.25">
      <c r="A458" s="51">
        <v>1.2470000000000001</v>
      </c>
      <c r="B458" s="52">
        <v>7343.8167000000003</v>
      </c>
      <c r="C458" s="52">
        <v>635.9153</v>
      </c>
      <c r="D458" s="52">
        <v>0</v>
      </c>
      <c r="E458" s="52">
        <v>0</v>
      </c>
      <c r="F458" s="52">
        <v>1907.7460000000001</v>
      </c>
      <c r="G458" s="52">
        <v>635.9153</v>
      </c>
      <c r="H458" s="52">
        <v>635.9153</v>
      </c>
      <c r="I458" s="52">
        <v>1271.8307</v>
      </c>
      <c r="J458" s="52">
        <v>376.08229999999998</v>
      </c>
      <c r="K458" s="52">
        <v>1128.2470000000001</v>
      </c>
      <c r="L458" s="52">
        <v>376.08229999999998</v>
      </c>
      <c r="M458" s="52">
        <v>376.08229999999998</v>
      </c>
      <c r="N458" s="5" t="s">
        <v>69</v>
      </c>
    </row>
    <row r="459" spans="1:14" x14ac:dyDescent="0.25">
      <c r="A459" s="51">
        <v>1.248</v>
      </c>
      <c r="B459" s="52">
        <v>7347.8963000000003</v>
      </c>
      <c r="C459" s="52">
        <v>636.42529999999999</v>
      </c>
      <c r="D459" s="52">
        <v>0</v>
      </c>
      <c r="E459" s="52">
        <v>0</v>
      </c>
      <c r="F459" s="52">
        <v>1909.2759000000001</v>
      </c>
      <c r="G459" s="52">
        <v>636.42529999999999</v>
      </c>
      <c r="H459" s="52">
        <v>636.42529999999999</v>
      </c>
      <c r="I459" s="52">
        <v>1272.8506</v>
      </c>
      <c r="J459" s="52">
        <v>376.08229999999998</v>
      </c>
      <c r="K459" s="52">
        <v>1128.2470000000001</v>
      </c>
      <c r="L459" s="52">
        <v>376.08229999999998</v>
      </c>
      <c r="M459" s="52">
        <v>376.08229999999998</v>
      </c>
      <c r="N459" s="5" t="s">
        <v>69</v>
      </c>
    </row>
    <row r="460" spans="1:14" x14ac:dyDescent="0.25">
      <c r="A460" s="51">
        <v>1.2490000000000001</v>
      </c>
      <c r="B460" s="52">
        <v>7351.9759999999997</v>
      </c>
      <c r="C460" s="52">
        <v>636.93520000000001</v>
      </c>
      <c r="D460" s="52">
        <v>0</v>
      </c>
      <c r="E460" s="52">
        <v>0</v>
      </c>
      <c r="F460" s="52">
        <v>1910.8056999999999</v>
      </c>
      <c r="G460" s="52">
        <v>636.93520000000001</v>
      </c>
      <c r="H460" s="52">
        <v>636.93520000000001</v>
      </c>
      <c r="I460" s="52">
        <v>1273.8705</v>
      </c>
      <c r="J460" s="52">
        <v>376.08229999999998</v>
      </c>
      <c r="K460" s="52">
        <v>1128.2470000000001</v>
      </c>
      <c r="L460" s="52">
        <v>376.08229999999998</v>
      </c>
      <c r="M460" s="52">
        <v>376.08229999999998</v>
      </c>
      <c r="N460" s="5" t="s">
        <v>69</v>
      </c>
    </row>
    <row r="461" spans="1:14" x14ac:dyDescent="0.25">
      <c r="A461" s="51">
        <v>1.25</v>
      </c>
      <c r="B461" s="52">
        <v>7356.0555999999997</v>
      </c>
      <c r="C461" s="52">
        <v>637.4452</v>
      </c>
      <c r="D461" s="52">
        <v>0</v>
      </c>
      <c r="E461" s="52">
        <v>0</v>
      </c>
      <c r="F461" s="52">
        <v>1912.3356000000001</v>
      </c>
      <c r="G461" s="52">
        <v>637.4452</v>
      </c>
      <c r="H461" s="52">
        <v>637.4452</v>
      </c>
      <c r="I461" s="52">
        <v>1274.8904</v>
      </c>
      <c r="J461" s="52">
        <v>376.08229999999998</v>
      </c>
      <c r="K461" s="52">
        <v>1128.2470000000001</v>
      </c>
      <c r="L461" s="52">
        <v>376.08229999999998</v>
      </c>
      <c r="M461" s="52">
        <v>376.08229999999998</v>
      </c>
      <c r="N461" s="5" t="s">
        <v>69</v>
      </c>
    </row>
    <row r="462" spans="1:14" x14ac:dyDescent="0.25">
      <c r="A462" s="51">
        <v>1.2509999999999999</v>
      </c>
      <c r="B462" s="52">
        <v>7360.1352999999999</v>
      </c>
      <c r="C462" s="52">
        <v>637.95519999999999</v>
      </c>
      <c r="D462" s="52">
        <v>0</v>
      </c>
      <c r="E462" s="52">
        <v>0</v>
      </c>
      <c r="F462" s="52">
        <v>1913.8655000000001</v>
      </c>
      <c r="G462" s="52">
        <v>637.95519999999999</v>
      </c>
      <c r="H462" s="52">
        <v>637.95519999999999</v>
      </c>
      <c r="I462" s="52">
        <v>1275.9103</v>
      </c>
      <c r="J462" s="52">
        <v>376.08229999999998</v>
      </c>
      <c r="K462" s="52">
        <v>1128.2470000000001</v>
      </c>
      <c r="L462" s="52">
        <v>376.08229999999998</v>
      </c>
      <c r="M462" s="52">
        <v>376.08229999999998</v>
      </c>
      <c r="N462" s="5" t="s">
        <v>69</v>
      </c>
    </row>
    <row r="463" spans="1:14" x14ac:dyDescent="0.25">
      <c r="A463" s="51">
        <v>1.252</v>
      </c>
      <c r="B463" s="52">
        <v>7364.2148999999999</v>
      </c>
      <c r="C463" s="52">
        <v>638.46510000000001</v>
      </c>
      <c r="D463" s="52">
        <v>0</v>
      </c>
      <c r="E463" s="52">
        <v>0</v>
      </c>
      <c r="F463" s="52">
        <v>1915.3954000000001</v>
      </c>
      <c r="G463" s="52">
        <v>638.46510000000001</v>
      </c>
      <c r="H463" s="52">
        <v>638.46510000000001</v>
      </c>
      <c r="I463" s="52">
        <v>1276.9302</v>
      </c>
      <c r="J463" s="52">
        <v>376.08229999999998</v>
      </c>
      <c r="K463" s="52">
        <v>1128.2470000000001</v>
      </c>
      <c r="L463" s="52">
        <v>376.08229999999998</v>
      </c>
      <c r="M463" s="52">
        <v>376.08229999999998</v>
      </c>
      <c r="N463" s="5" t="s">
        <v>69</v>
      </c>
    </row>
    <row r="464" spans="1:14" x14ac:dyDescent="0.25">
      <c r="A464" s="51">
        <v>1.2529999999999999</v>
      </c>
      <c r="B464" s="52">
        <v>7368.2946000000002</v>
      </c>
      <c r="C464" s="52">
        <v>638.9751</v>
      </c>
      <c r="D464" s="52">
        <v>0</v>
      </c>
      <c r="E464" s="52">
        <v>0</v>
      </c>
      <c r="F464" s="52">
        <v>1916.9251999999999</v>
      </c>
      <c r="G464" s="52">
        <v>638.9751</v>
      </c>
      <c r="H464" s="52">
        <v>638.9751</v>
      </c>
      <c r="I464" s="52">
        <v>1277.9501</v>
      </c>
      <c r="J464" s="52">
        <v>376.08229999999998</v>
      </c>
      <c r="K464" s="52">
        <v>1128.2470000000001</v>
      </c>
      <c r="L464" s="52">
        <v>376.08229999999998</v>
      </c>
      <c r="M464" s="52">
        <v>376.08229999999998</v>
      </c>
      <c r="N464" s="5" t="s">
        <v>69</v>
      </c>
    </row>
    <row r="465" spans="1:14" x14ac:dyDescent="0.25">
      <c r="A465" s="51">
        <v>1.254</v>
      </c>
      <c r="B465" s="52">
        <v>7372.3742000000002</v>
      </c>
      <c r="C465" s="52">
        <v>639.48500000000001</v>
      </c>
      <c r="D465" s="52">
        <v>0</v>
      </c>
      <c r="E465" s="52">
        <v>0</v>
      </c>
      <c r="F465" s="52">
        <v>1918.4550999999999</v>
      </c>
      <c r="G465" s="52">
        <v>639.48500000000001</v>
      </c>
      <c r="H465" s="52">
        <v>639.48500000000001</v>
      </c>
      <c r="I465" s="52">
        <v>1278.9701</v>
      </c>
      <c r="J465" s="52">
        <v>376.08229999999998</v>
      </c>
      <c r="K465" s="52">
        <v>1128.2470000000001</v>
      </c>
      <c r="L465" s="52">
        <v>376.08229999999998</v>
      </c>
      <c r="M465" s="52">
        <v>376.08229999999998</v>
      </c>
      <c r="N465" s="5" t="s">
        <v>69</v>
      </c>
    </row>
    <row r="466" spans="1:14" x14ac:dyDescent="0.25">
      <c r="A466" s="51">
        <v>1.2549999999999999</v>
      </c>
      <c r="B466" s="52">
        <v>7376.4539000000004</v>
      </c>
      <c r="C466" s="52">
        <v>639.995</v>
      </c>
      <c r="D466" s="52">
        <v>0</v>
      </c>
      <c r="E466" s="52">
        <v>0</v>
      </c>
      <c r="F466" s="52">
        <v>1919.9849999999999</v>
      </c>
      <c r="G466" s="52">
        <v>639.995</v>
      </c>
      <c r="H466" s="52">
        <v>639.995</v>
      </c>
      <c r="I466" s="52">
        <v>1279.99</v>
      </c>
      <c r="J466" s="52">
        <v>376.08229999999998</v>
      </c>
      <c r="K466" s="52">
        <v>1128.2470000000001</v>
      </c>
      <c r="L466" s="52">
        <v>376.08229999999998</v>
      </c>
      <c r="M466" s="52">
        <v>376.08229999999998</v>
      </c>
      <c r="N466" s="5" t="s">
        <v>69</v>
      </c>
    </row>
    <row r="467" spans="1:14" x14ac:dyDescent="0.25">
      <c r="A467" s="51">
        <v>1.256</v>
      </c>
      <c r="B467" s="52">
        <v>7380.5334999999995</v>
      </c>
      <c r="C467" s="52">
        <v>640.50490000000002</v>
      </c>
      <c r="D467" s="52">
        <v>0</v>
      </c>
      <c r="E467" s="52">
        <v>0</v>
      </c>
      <c r="F467" s="52">
        <v>1921.5147999999999</v>
      </c>
      <c r="G467" s="52">
        <v>640.50490000000002</v>
      </c>
      <c r="H467" s="52">
        <v>640.50490000000002</v>
      </c>
      <c r="I467" s="52">
        <v>1281.0099</v>
      </c>
      <c r="J467" s="52">
        <v>376.08229999999998</v>
      </c>
      <c r="K467" s="52">
        <v>1128.2470000000001</v>
      </c>
      <c r="L467" s="52">
        <v>376.08229999999998</v>
      </c>
      <c r="M467" s="52">
        <v>376.08229999999998</v>
      </c>
      <c r="N467" s="5" t="s">
        <v>69</v>
      </c>
    </row>
    <row r="468" spans="1:14" x14ac:dyDescent="0.25">
      <c r="A468" s="51">
        <v>1.2569999999999999</v>
      </c>
      <c r="B468" s="52">
        <v>7384.6131999999998</v>
      </c>
      <c r="C468" s="52">
        <v>641.01490000000001</v>
      </c>
      <c r="D468" s="52">
        <v>0</v>
      </c>
      <c r="E468" s="52">
        <v>0</v>
      </c>
      <c r="F468" s="52">
        <v>1923.0446999999999</v>
      </c>
      <c r="G468" s="52">
        <v>641.01490000000001</v>
      </c>
      <c r="H468" s="52">
        <v>641.01490000000001</v>
      </c>
      <c r="I468" s="52">
        <v>1282.0298</v>
      </c>
      <c r="J468" s="52">
        <v>376.08229999999998</v>
      </c>
      <c r="K468" s="52">
        <v>1128.2470000000001</v>
      </c>
      <c r="L468" s="52">
        <v>376.08229999999998</v>
      </c>
      <c r="M468" s="52">
        <v>376.08229999999998</v>
      </c>
      <c r="N468" s="5" t="s">
        <v>69</v>
      </c>
    </row>
    <row r="469" spans="1:14" x14ac:dyDescent="0.25">
      <c r="A469" s="51">
        <v>1.258</v>
      </c>
      <c r="B469" s="52">
        <v>7388.6927999999998</v>
      </c>
      <c r="C469" s="52">
        <v>641.5249</v>
      </c>
      <c r="D469" s="52">
        <v>0</v>
      </c>
      <c r="E469" s="52">
        <v>0</v>
      </c>
      <c r="F469" s="52">
        <v>1924.5745999999999</v>
      </c>
      <c r="G469" s="52">
        <v>641.5249</v>
      </c>
      <c r="H469" s="52">
        <v>641.5249</v>
      </c>
      <c r="I469" s="52">
        <v>1283.0497</v>
      </c>
      <c r="J469" s="52">
        <v>376.08229999999998</v>
      </c>
      <c r="K469" s="52">
        <v>1128.2470000000001</v>
      </c>
      <c r="L469" s="52">
        <v>376.08229999999998</v>
      </c>
      <c r="M469" s="52">
        <v>376.08229999999998</v>
      </c>
      <c r="N469" s="5" t="s">
        <v>69</v>
      </c>
    </row>
    <row r="470" spans="1:14" x14ac:dyDescent="0.25">
      <c r="A470" s="51">
        <v>1.2589999999999999</v>
      </c>
      <c r="B470" s="52">
        <v>7392.7725</v>
      </c>
      <c r="C470" s="52">
        <v>642.03480000000002</v>
      </c>
      <c r="D470" s="52">
        <v>0</v>
      </c>
      <c r="E470" s="52">
        <v>0</v>
      </c>
      <c r="F470" s="52">
        <v>1926.1043999999999</v>
      </c>
      <c r="G470" s="52">
        <v>642.03480000000002</v>
      </c>
      <c r="H470" s="52">
        <v>642.03480000000002</v>
      </c>
      <c r="I470" s="52">
        <v>1284.0696</v>
      </c>
      <c r="J470" s="52">
        <v>376.08229999999998</v>
      </c>
      <c r="K470" s="52">
        <v>1128.2470000000001</v>
      </c>
      <c r="L470" s="52">
        <v>376.08229999999998</v>
      </c>
      <c r="M470" s="52">
        <v>376.08229999999998</v>
      </c>
      <c r="N470" s="5" t="s">
        <v>69</v>
      </c>
    </row>
    <row r="471" spans="1:14" x14ac:dyDescent="0.25">
      <c r="A471" s="51">
        <v>1.26</v>
      </c>
      <c r="B471" s="52">
        <v>7396.8521000000001</v>
      </c>
      <c r="C471" s="52">
        <v>642.54480000000001</v>
      </c>
      <c r="D471" s="52">
        <v>0</v>
      </c>
      <c r="E471" s="52">
        <v>0</v>
      </c>
      <c r="F471" s="52">
        <v>1927.6342999999999</v>
      </c>
      <c r="G471" s="52">
        <v>642.54480000000001</v>
      </c>
      <c r="H471" s="52">
        <v>642.54480000000001</v>
      </c>
      <c r="I471" s="52">
        <v>1285.0895</v>
      </c>
      <c r="J471" s="52">
        <v>376.08229999999998</v>
      </c>
      <c r="K471" s="52">
        <v>1128.2470000000001</v>
      </c>
      <c r="L471" s="52">
        <v>376.08229999999998</v>
      </c>
      <c r="M471" s="52">
        <v>376.08229999999998</v>
      </c>
      <c r="N471" s="5" t="s">
        <v>69</v>
      </c>
    </row>
    <row r="472" spans="1:14" x14ac:dyDescent="0.25">
      <c r="A472" s="51">
        <v>1.2609999999999999</v>
      </c>
      <c r="B472" s="52">
        <v>7400.9318000000003</v>
      </c>
      <c r="C472" s="52">
        <v>643.05470000000003</v>
      </c>
      <c r="D472" s="52">
        <v>0</v>
      </c>
      <c r="E472" s="52">
        <v>0</v>
      </c>
      <c r="F472" s="52">
        <v>1929.1641999999999</v>
      </c>
      <c r="G472" s="52">
        <v>643.05470000000003</v>
      </c>
      <c r="H472" s="52">
        <v>643.05470000000003</v>
      </c>
      <c r="I472" s="52">
        <v>1286.1094000000001</v>
      </c>
      <c r="J472" s="52">
        <v>376.08229999999998</v>
      </c>
      <c r="K472" s="52">
        <v>1128.2470000000001</v>
      </c>
      <c r="L472" s="52">
        <v>376.08229999999998</v>
      </c>
      <c r="M472" s="52">
        <v>376.08229999999998</v>
      </c>
      <c r="N472" s="5" t="s">
        <v>69</v>
      </c>
    </row>
    <row r="473" spans="1:14" x14ac:dyDescent="0.25">
      <c r="A473" s="51">
        <v>1.262</v>
      </c>
      <c r="B473" s="52">
        <v>7405.0114000000003</v>
      </c>
      <c r="C473" s="52">
        <v>643.56470000000002</v>
      </c>
      <c r="D473" s="52">
        <v>0</v>
      </c>
      <c r="E473" s="52">
        <v>0</v>
      </c>
      <c r="F473" s="52">
        <v>1930.694</v>
      </c>
      <c r="G473" s="52">
        <v>643.56470000000002</v>
      </c>
      <c r="H473" s="52">
        <v>643.56470000000002</v>
      </c>
      <c r="I473" s="52">
        <v>1287.1294</v>
      </c>
      <c r="J473" s="52">
        <v>376.08229999999998</v>
      </c>
      <c r="K473" s="52">
        <v>1128.2470000000001</v>
      </c>
      <c r="L473" s="52">
        <v>376.08229999999998</v>
      </c>
      <c r="M473" s="52">
        <v>376.08229999999998</v>
      </c>
      <c r="N473" s="5" t="s">
        <v>69</v>
      </c>
    </row>
    <row r="474" spans="1:14" x14ac:dyDescent="0.25">
      <c r="A474" s="51">
        <v>1.2629999999999999</v>
      </c>
      <c r="B474" s="52">
        <v>7409.0910999999996</v>
      </c>
      <c r="C474" s="52">
        <v>644.07460000000003</v>
      </c>
      <c r="D474" s="52">
        <v>0</v>
      </c>
      <c r="E474" s="52">
        <v>0</v>
      </c>
      <c r="F474" s="52">
        <v>1932.2239</v>
      </c>
      <c r="G474" s="52">
        <v>644.07460000000003</v>
      </c>
      <c r="H474" s="52">
        <v>644.07460000000003</v>
      </c>
      <c r="I474" s="52">
        <v>1288.1493</v>
      </c>
      <c r="J474" s="52">
        <v>376.08229999999998</v>
      </c>
      <c r="K474" s="52">
        <v>1128.2470000000001</v>
      </c>
      <c r="L474" s="52">
        <v>376.08229999999998</v>
      </c>
      <c r="M474" s="52">
        <v>376.08229999999998</v>
      </c>
      <c r="N474" s="5" t="s">
        <v>69</v>
      </c>
    </row>
    <row r="475" spans="1:14" x14ac:dyDescent="0.25">
      <c r="A475" s="51">
        <v>1.264</v>
      </c>
      <c r="B475" s="52">
        <v>7413.1706999999997</v>
      </c>
      <c r="C475" s="52">
        <v>644.58460000000002</v>
      </c>
      <c r="D475" s="52">
        <v>0</v>
      </c>
      <c r="E475" s="52">
        <v>0</v>
      </c>
      <c r="F475" s="52">
        <v>1933.7538</v>
      </c>
      <c r="G475" s="52">
        <v>644.58460000000002</v>
      </c>
      <c r="H475" s="52">
        <v>644.58460000000002</v>
      </c>
      <c r="I475" s="52">
        <v>1289.1692</v>
      </c>
      <c r="J475" s="52">
        <v>376.08229999999998</v>
      </c>
      <c r="K475" s="52">
        <v>1128.2470000000001</v>
      </c>
      <c r="L475" s="52">
        <v>376.08229999999998</v>
      </c>
      <c r="M475" s="52">
        <v>376.08229999999998</v>
      </c>
      <c r="N475" s="5" t="s">
        <v>69</v>
      </c>
    </row>
    <row r="476" spans="1:14" x14ac:dyDescent="0.25">
      <c r="A476" s="51">
        <v>1.2649999999999999</v>
      </c>
      <c r="B476" s="52">
        <v>7417.2503999999999</v>
      </c>
      <c r="C476" s="52">
        <v>645.09450000000004</v>
      </c>
      <c r="D476" s="52">
        <v>0</v>
      </c>
      <c r="E476" s="52">
        <v>0</v>
      </c>
      <c r="F476" s="52">
        <v>1935.2836</v>
      </c>
      <c r="G476" s="52">
        <v>645.09450000000004</v>
      </c>
      <c r="H476" s="52">
        <v>645.09450000000004</v>
      </c>
      <c r="I476" s="52">
        <v>1290.1891000000001</v>
      </c>
      <c r="J476" s="52">
        <v>376.08229999999998</v>
      </c>
      <c r="K476" s="52">
        <v>1128.2470000000001</v>
      </c>
      <c r="L476" s="52">
        <v>376.08229999999998</v>
      </c>
      <c r="M476" s="52">
        <v>376.08229999999998</v>
      </c>
      <c r="N476" s="5" t="s">
        <v>69</v>
      </c>
    </row>
    <row r="477" spans="1:14" x14ac:dyDescent="0.25">
      <c r="A477" s="51">
        <v>1.266</v>
      </c>
      <c r="B477" s="52">
        <v>7421.33</v>
      </c>
      <c r="C477" s="52">
        <v>645.60450000000003</v>
      </c>
      <c r="D477" s="52">
        <v>0</v>
      </c>
      <c r="E477" s="52">
        <v>0</v>
      </c>
      <c r="F477" s="52">
        <v>1936.8135</v>
      </c>
      <c r="G477" s="52">
        <v>645.60450000000003</v>
      </c>
      <c r="H477" s="52">
        <v>645.60450000000003</v>
      </c>
      <c r="I477" s="52">
        <v>1291.2090000000001</v>
      </c>
      <c r="J477" s="52">
        <v>376.08229999999998</v>
      </c>
      <c r="K477" s="52">
        <v>1128.2470000000001</v>
      </c>
      <c r="L477" s="52">
        <v>376.08229999999998</v>
      </c>
      <c r="M477" s="52">
        <v>376.08229999999998</v>
      </c>
      <c r="N477" s="5" t="s">
        <v>69</v>
      </c>
    </row>
    <row r="478" spans="1:14" x14ac:dyDescent="0.25">
      <c r="A478" s="51">
        <v>1.2669999999999999</v>
      </c>
      <c r="B478" s="52">
        <v>7425.4097000000002</v>
      </c>
      <c r="C478" s="52">
        <v>646.11450000000002</v>
      </c>
      <c r="D478" s="52">
        <v>0</v>
      </c>
      <c r="E478" s="52">
        <v>0</v>
      </c>
      <c r="F478" s="52">
        <v>1938.3434</v>
      </c>
      <c r="G478" s="52">
        <v>646.11450000000002</v>
      </c>
      <c r="H478" s="52">
        <v>646.11450000000002</v>
      </c>
      <c r="I478" s="52">
        <v>1292.2289000000001</v>
      </c>
      <c r="J478" s="52">
        <v>376.08229999999998</v>
      </c>
      <c r="K478" s="52">
        <v>1128.2470000000001</v>
      </c>
      <c r="L478" s="52">
        <v>376.08229999999998</v>
      </c>
      <c r="M478" s="52">
        <v>376.08229999999998</v>
      </c>
      <c r="N478" s="5" t="s">
        <v>69</v>
      </c>
    </row>
    <row r="479" spans="1:14" x14ac:dyDescent="0.25">
      <c r="A479" s="51">
        <v>1.268</v>
      </c>
      <c r="B479" s="52">
        <v>7429.4893000000002</v>
      </c>
      <c r="C479" s="52">
        <v>646.62440000000004</v>
      </c>
      <c r="D479" s="52">
        <v>0</v>
      </c>
      <c r="E479" s="52">
        <v>0</v>
      </c>
      <c r="F479" s="52">
        <v>1939.8732</v>
      </c>
      <c r="G479" s="52">
        <v>646.62440000000004</v>
      </c>
      <c r="H479" s="52">
        <v>646.62440000000004</v>
      </c>
      <c r="I479" s="52">
        <v>1293.2488000000001</v>
      </c>
      <c r="J479" s="52">
        <v>376.08229999999998</v>
      </c>
      <c r="K479" s="52">
        <v>1128.2470000000001</v>
      </c>
      <c r="L479" s="52">
        <v>376.08229999999998</v>
      </c>
      <c r="M479" s="52">
        <v>376.08229999999998</v>
      </c>
      <c r="N479" s="5" t="s">
        <v>69</v>
      </c>
    </row>
    <row r="480" spans="1:14" x14ac:dyDescent="0.25">
      <c r="A480" s="51">
        <v>1.2689999999999999</v>
      </c>
      <c r="B480" s="52">
        <v>7433.5690000000004</v>
      </c>
      <c r="C480" s="52">
        <v>647.13440000000003</v>
      </c>
      <c r="D480" s="52">
        <v>0</v>
      </c>
      <c r="E480" s="52">
        <v>0</v>
      </c>
      <c r="F480" s="52">
        <v>1941.4031</v>
      </c>
      <c r="G480" s="52">
        <v>647.13440000000003</v>
      </c>
      <c r="H480" s="52">
        <v>647.13440000000003</v>
      </c>
      <c r="I480" s="52">
        <v>1294.2687000000001</v>
      </c>
      <c r="J480" s="52">
        <v>376.08229999999998</v>
      </c>
      <c r="K480" s="52">
        <v>1128.2470000000001</v>
      </c>
      <c r="L480" s="52">
        <v>376.08229999999998</v>
      </c>
      <c r="M480" s="52">
        <v>376.08229999999998</v>
      </c>
      <c r="N480" s="5" t="s">
        <v>69</v>
      </c>
    </row>
    <row r="481" spans="1:14" x14ac:dyDescent="0.25">
      <c r="A481" s="51">
        <v>1.27</v>
      </c>
      <c r="B481" s="52">
        <v>7437.6486000000004</v>
      </c>
      <c r="C481" s="52">
        <v>647.64430000000004</v>
      </c>
      <c r="D481" s="52">
        <v>0</v>
      </c>
      <c r="E481" s="52">
        <v>0</v>
      </c>
      <c r="F481" s="52">
        <v>1942.933</v>
      </c>
      <c r="G481" s="52">
        <v>647.64430000000004</v>
      </c>
      <c r="H481" s="52">
        <v>647.64430000000004</v>
      </c>
      <c r="I481" s="52">
        <v>1295.2887000000001</v>
      </c>
      <c r="J481" s="52">
        <v>376.08229999999998</v>
      </c>
      <c r="K481" s="52">
        <v>1128.2470000000001</v>
      </c>
      <c r="L481" s="52">
        <v>376.08229999999998</v>
      </c>
      <c r="M481" s="52">
        <v>376.08229999999998</v>
      </c>
      <c r="N481" s="5" t="s">
        <v>69</v>
      </c>
    </row>
    <row r="482" spans="1:14" x14ac:dyDescent="0.25">
      <c r="A482" s="51">
        <v>1.2709999999999999</v>
      </c>
      <c r="B482" s="52">
        <v>7441.7282999999998</v>
      </c>
      <c r="C482" s="52">
        <v>648.15430000000003</v>
      </c>
      <c r="D482" s="52">
        <v>0</v>
      </c>
      <c r="E482" s="52">
        <v>0</v>
      </c>
      <c r="F482" s="52">
        <v>1944.4629</v>
      </c>
      <c r="G482" s="52">
        <v>648.15430000000003</v>
      </c>
      <c r="H482" s="52">
        <v>648.15430000000003</v>
      </c>
      <c r="I482" s="52">
        <v>1296.3086000000001</v>
      </c>
      <c r="J482" s="52">
        <v>376.08229999999998</v>
      </c>
      <c r="K482" s="52">
        <v>1128.2470000000001</v>
      </c>
      <c r="L482" s="52">
        <v>376.08229999999998</v>
      </c>
      <c r="M482" s="52">
        <v>376.08229999999998</v>
      </c>
      <c r="N482" s="5" t="s">
        <v>69</v>
      </c>
    </row>
    <row r="483" spans="1:14" x14ac:dyDescent="0.25">
      <c r="A483" s="51">
        <v>1.272</v>
      </c>
      <c r="B483" s="52">
        <v>7445.8078999999998</v>
      </c>
      <c r="C483" s="52">
        <v>648.66420000000005</v>
      </c>
      <c r="D483" s="52">
        <v>0</v>
      </c>
      <c r="E483" s="52">
        <v>0</v>
      </c>
      <c r="F483" s="52">
        <v>1945.9927</v>
      </c>
      <c r="G483" s="52">
        <v>648.66420000000005</v>
      </c>
      <c r="H483" s="52">
        <v>648.66420000000005</v>
      </c>
      <c r="I483" s="52">
        <v>1297.3285000000001</v>
      </c>
      <c r="J483" s="52">
        <v>376.08229999999998</v>
      </c>
      <c r="K483" s="52">
        <v>1128.2470000000001</v>
      </c>
      <c r="L483" s="52">
        <v>376.08229999999998</v>
      </c>
      <c r="M483" s="52">
        <v>376.08229999999998</v>
      </c>
      <c r="N483" s="5" t="s">
        <v>69</v>
      </c>
    </row>
    <row r="484" spans="1:14" x14ac:dyDescent="0.25">
      <c r="A484" s="51">
        <v>1.2729999999999999</v>
      </c>
      <c r="B484" s="52">
        <v>7449.8876</v>
      </c>
      <c r="C484" s="52">
        <v>649.17420000000004</v>
      </c>
      <c r="D484" s="52">
        <v>0</v>
      </c>
      <c r="E484" s="52">
        <v>0</v>
      </c>
      <c r="F484" s="52">
        <v>1947.5226</v>
      </c>
      <c r="G484" s="52">
        <v>649.17420000000004</v>
      </c>
      <c r="H484" s="52">
        <v>649.17420000000004</v>
      </c>
      <c r="I484" s="52">
        <v>1298.3484000000001</v>
      </c>
      <c r="J484" s="52">
        <v>376.08229999999998</v>
      </c>
      <c r="K484" s="52">
        <v>1128.2470000000001</v>
      </c>
      <c r="L484" s="52">
        <v>376.08229999999998</v>
      </c>
      <c r="M484" s="52">
        <v>376.08229999999998</v>
      </c>
      <c r="N484" s="5" t="s">
        <v>69</v>
      </c>
    </row>
    <row r="485" spans="1:14" x14ac:dyDescent="0.25">
      <c r="A485" s="51">
        <v>1.274</v>
      </c>
      <c r="B485" s="52">
        <v>7453.9672</v>
      </c>
      <c r="C485" s="52">
        <v>649.68420000000003</v>
      </c>
      <c r="D485" s="52">
        <v>0</v>
      </c>
      <c r="E485" s="52">
        <v>0</v>
      </c>
      <c r="F485" s="52">
        <v>1949.0525</v>
      </c>
      <c r="G485" s="52">
        <v>649.68420000000003</v>
      </c>
      <c r="H485" s="52">
        <v>649.68420000000003</v>
      </c>
      <c r="I485" s="52">
        <v>1299.3683000000001</v>
      </c>
      <c r="J485" s="52">
        <v>376.08229999999998</v>
      </c>
      <c r="K485" s="52">
        <v>1128.2470000000001</v>
      </c>
      <c r="L485" s="52">
        <v>376.08229999999998</v>
      </c>
      <c r="M485" s="52">
        <v>376.08229999999998</v>
      </c>
      <c r="N485" s="5" t="s">
        <v>69</v>
      </c>
    </row>
    <row r="486" spans="1:14" x14ac:dyDescent="0.25">
      <c r="A486" s="51">
        <v>1.2749999999999999</v>
      </c>
      <c r="B486" s="52">
        <v>7458.0469000000003</v>
      </c>
      <c r="C486" s="52">
        <v>650.19410000000005</v>
      </c>
      <c r="D486" s="52">
        <v>0</v>
      </c>
      <c r="E486" s="52">
        <v>0</v>
      </c>
      <c r="F486" s="52">
        <v>1950.5823</v>
      </c>
      <c r="G486" s="52">
        <v>650.19410000000005</v>
      </c>
      <c r="H486" s="52">
        <v>650.19410000000005</v>
      </c>
      <c r="I486" s="52">
        <v>1300.3882000000001</v>
      </c>
      <c r="J486" s="52">
        <v>376.08229999999998</v>
      </c>
      <c r="K486" s="52">
        <v>1128.2470000000001</v>
      </c>
      <c r="L486" s="52">
        <v>376.08229999999998</v>
      </c>
      <c r="M486" s="52">
        <v>376.08229999999998</v>
      </c>
      <c r="N486" s="5" t="s">
        <v>69</v>
      </c>
    </row>
    <row r="487" spans="1:14" x14ac:dyDescent="0.25">
      <c r="A487" s="51">
        <v>1.276</v>
      </c>
      <c r="B487" s="52">
        <v>7462.1265000000003</v>
      </c>
      <c r="C487" s="52">
        <v>650.70410000000004</v>
      </c>
      <c r="D487" s="52">
        <v>0</v>
      </c>
      <c r="E487" s="52">
        <v>0</v>
      </c>
      <c r="F487" s="52">
        <v>1952.1122</v>
      </c>
      <c r="G487" s="52">
        <v>650.70410000000004</v>
      </c>
      <c r="H487" s="52">
        <v>650.70410000000004</v>
      </c>
      <c r="I487" s="52">
        <v>1301.4081000000001</v>
      </c>
      <c r="J487" s="52">
        <v>376.08229999999998</v>
      </c>
      <c r="K487" s="52">
        <v>1128.2470000000001</v>
      </c>
      <c r="L487" s="52">
        <v>376.08229999999998</v>
      </c>
      <c r="M487" s="52">
        <v>376.08229999999998</v>
      </c>
      <c r="N487" s="5" t="s">
        <v>69</v>
      </c>
    </row>
    <row r="488" spans="1:14" x14ac:dyDescent="0.25">
      <c r="A488" s="51">
        <v>1.2769999999999999</v>
      </c>
      <c r="B488" s="52">
        <v>7466.2061999999996</v>
      </c>
      <c r="C488" s="52">
        <v>651.21400000000006</v>
      </c>
      <c r="D488" s="52">
        <v>0</v>
      </c>
      <c r="E488" s="52">
        <v>0</v>
      </c>
      <c r="F488" s="52">
        <v>1953.6421</v>
      </c>
      <c r="G488" s="52">
        <v>651.21400000000006</v>
      </c>
      <c r="H488" s="52">
        <v>651.21400000000006</v>
      </c>
      <c r="I488" s="52">
        <v>1302.4280000000001</v>
      </c>
      <c r="J488" s="52">
        <v>376.08229999999998</v>
      </c>
      <c r="K488" s="52">
        <v>1128.2470000000001</v>
      </c>
      <c r="L488" s="52">
        <v>376.08229999999998</v>
      </c>
      <c r="M488" s="52">
        <v>376.08229999999998</v>
      </c>
      <c r="N488" s="5" t="s">
        <v>69</v>
      </c>
    </row>
    <row r="489" spans="1:14" x14ac:dyDescent="0.25">
      <c r="A489" s="51">
        <v>1.278</v>
      </c>
      <c r="B489" s="52">
        <v>7470.2857999999997</v>
      </c>
      <c r="C489" s="52">
        <v>651.72400000000005</v>
      </c>
      <c r="D489" s="52">
        <v>0</v>
      </c>
      <c r="E489" s="52">
        <v>0</v>
      </c>
      <c r="F489" s="52">
        <v>1955.1719000000001</v>
      </c>
      <c r="G489" s="52">
        <v>651.72400000000005</v>
      </c>
      <c r="H489" s="52">
        <v>651.72400000000005</v>
      </c>
      <c r="I489" s="52">
        <v>1303.4480000000001</v>
      </c>
      <c r="J489" s="52">
        <v>376.08229999999998</v>
      </c>
      <c r="K489" s="52">
        <v>1128.2470000000001</v>
      </c>
      <c r="L489" s="52">
        <v>376.08229999999998</v>
      </c>
      <c r="M489" s="52">
        <v>376.08229999999998</v>
      </c>
      <c r="N489" s="5" t="s">
        <v>69</v>
      </c>
    </row>
    <row r="490" spans="1:14" x14ac:dyDescent="0.25">
      <c r="A490" s="51">
        <v>1.2789999999999999</v>
      </c>
      <c r="B490" s="52">
        <v>7474.3654999999999</v>
      </c>
      <c r="C490" s="52">
        <v>652.23389999999995</v>
      </c>
      <c r="D490" s="52">
        <v>0</v>
      </c>
      <c r="E490" s="52">
        <v>0</v>
      </c>
      <c r="F490" s="52">
        <v>1956.7018</v>
      </c>
      <c r="G490" s="52">
        <v>652.23389999999995</v>
      </c>
      <c r="H490" s="52">
        <v>652.23389999999995</v>
      </c>
      <c r="I490" s="52">
        <v>1304.4679000000001</v>
      </c>
      <c r="J490" s="52">
        <v>376.08229999999998</v>
      </c>
      <c r="K490" s="52">
        <v>1128.2470000000001</v>
      </c>
      <c r="L490" s="52">
        <v>376.08229999999998</v>
      </c>
      <c r="M490" s="52">
        <v>376.08229999999998</v>
      </c>
      <c r="N490" s="5" t="s">
        <v>69</v>
      </c>
    </row>
    <row r="491" spans="1:14" x14ac:dyDescent="0.25">
      <c r="A491" s="51">
        <v>1.28</v>
      </c>
      <c r="B491" s="52">
        <v>7478.4450999999999</v>
      </c>
      <c r="C491" s="52">
        <v>652.74390000000005</v>
      </c>
      <c r="D491" s="52">
        <v>0</v>
      </c>
      <c r="E491" s="52">
        <v>0</v>
      </c>
      <c r="F491" s="52">
        <v>1958.2317</v>
      </c>
      <c r="G491" s="52">
        <v>652.74390000000005</v>
      </c>
      <c r="H491" s="52">
        <v>652.74390000000005</v>
      </c>
      <c r="I491" s="52">
        <v>1305.4878000000001</v>
      </c>
      <c r="J491" s="52">
        <v>376.08229999999998</v>
      </c>
      <c r="K491" s="52">
        <v>1128.2470000000001</v>
      </c>
      <c r="L491" s="52">
        <v>376.08229999999998</v>
      </c>
      <c r="M491" s="52">
        <v>376.08229999999998</v>
      </c>
      <c r="N491" s="5" t="s">
        <v>69</v>
      </c>
    </row>
    <row r="492" spans="1:14" x14ac:dyDescent="0.25">
      <c r="A492" s="51">
        <v>1.2809999999999999</v>
      </c>
      <c r="B492" s="52">
        <v>7482.5248000000001</v>
      </c>
      <c r="C492" s="52">
        <v>653.25379999999996</v>
      </c>
      <c r="D492" s="52">
        <v>0</v>
      </c>
      <c r="E492" s="52">
        <v>0</v>
      </c>
      <c r="F492" s="52">
        <v>1959.7615000000001</v>
      </c>
      <c r="G492" s="52">
        <v>653.25379999999996</v>
      </c>
      <c r="H492" s="52">
        <v>653.25379999999996</v>
      </c>
      <c r="I492" s="52">
        <v>1306.5077000000001</v>
      </c>
      <c r="J492" s="52">
        <v>376.08229999999998</v>
      </c>
      <c r="K492" s="52">
        <v>1128.2470000000001</v>
      </c>
      <c r="L492" s="52">
        <v>376.08229999999998</v>
      </c>
      <c r="M492" s="52">
        <v>376.08229999999998</v>
      </c>
      <c r="N492" s="5" t="s">
        <v>69</v>
      </c>
    </row>
    <row r="493" spans="1:14" x14ac:dyDescent="0.25">
      <c r="A493" s="51">
        <v>1.282</v>
      </c>
      <c r="B493" s="52">
        <v>7486.6044000000002</v>
      </c>
      <c r="C493" s="52">
        <v>653.76379999999995</v>
      </c>
      <c r="D493" s="52">
        <v>0</v>
      </c>
      <c r="E493" s="52">
        <v>0</v>
      </c>
      <c r="F493" s="52">
        <v>1961.2914000000001</v>
      </c>
      <c r="G493" s="52">
        <v>653.76379999999995</v>
      </c>
      <c r="H493" s="52">
        <v>653.76379999999995</v>
      </c>
      <c r="I493" s="52">
        <v>1307.5275999999999</v>
      </c>
      <c r="J493" s="52">
        <v>376.08229999999998</v>
      </c>
      <c r="K493" s="52">
        <v>1128.2470000000001</v>
      </c>
      <c r="L493" s="52">
        <v>376.08229999999998</v>
      </c>
      <c r="M493" s="52">
        <v>376.08229999999998</v>
      </c>
      <c r="N493" s="5" t="s">
        <v>69</v>
      </c>
    </row>
    <row r="494" spans="1:14" x14ac:dyDescent="0.25">
      <c r="A494" s="51">
        <v>1.2829999999999999</v>
      </c>
      <c r="B494" s="52">
        <v>7490.6841000000004</v>
      </c>
      <c r="C494" s="52">
        <v>654.27380000000005</v>
      </c>
      <c r="D494" s="52">
        <v>0</v>
      </c>
      <c r="E494" s="52">
        <v>0</v>
      </c>
      <c r="F494" s="52">
        <v>1962.8213000000001</v>
      </c>
      <c r="G494" s="52">
        <v>654.27380000000005</v>
      </c>
      <c r="H494" s="52">
        <v>654.27380000000005</v>
      </c>
      <c r="I494" s="52">
        <v>1308.5474999999999</v>
      </c>
      <c r="J494" s="52">
        <v>376.08229999999998</v>
      </c>
      <c r="K494" s="52">
        <v>1128.2470000000001</v>
      </c>
      <c r="L494" s="52">
        <v>376.08229999999998</v>
      </c>
      <c r="M494" s="52">
        <v>376.08229999999998</v>
      </c>
      <c r="N494" s="5" t="s">
        <v>69</v>
      </c>
    </row>
    <row r="495" spans="1:14" x14ac:dyDescent="0.25">
      <c r="A495" s="51">
        <v>1.284</v>
      </c>
      <c r="B495" s="52">
        <v>7494.7637000000004</v>
      </c>
      <c r="C495" s="52">
        <v>654.78369999999995</v>
      </c>
      <c r="D495" s="52">
        <v>0</v>
      </c>
      <c r="E495" s="52">
        <v>0</v>
      </c>
      <c r="F495" s="52">
        <v>1964.3511000000001</v>
      </c>
      <c r="G495" s="52">
        <v>654.78369999999995</v>
      </c>
      <c r="H495" s="52">
        <v>654.78369999999995</v>
      </c>
      <c r="I495" s="52">
        <v>1309.5673999999999</v>
      </c>
      <c r="J495" s="52">
        <v>376.08229999999998</v>
      </c>
      <c r="K495" s="52">
        <v>1128.2470000000001</v>
      </c>
      <c r="L495" s="52">
        <v>376.08229999999998</v>
      </c>
      <c r="M495" s="52">
        <v>376.08229999999998</v>
      </c>
      <c r="N495" s="5" t="s">
        <v>69</v>
      </c>
    </row>
    <row r="496" spans="1:14" x14ac:dyDescent="0.25">
      <c r="A496" s="51">
        <v>1.2849999999999999</v>
      </c>
      <c r="B496" s="52">
        <v>7498.8433999999997</v>
      </c>
      <c r="C496" s="52">
        <v>655.29369999999994</v>
      </c>
      <c r="D496" s="52">
        <v>0</v>
      </c>
      <c r="E496" s="52">
        <v>0</v>
      </c>
      <c r="F496" s="52">
        <v>1965.8810000000001</v>
      </c>
      <c r="G496" s="52">
        <v>655.29369999999994</v>
      </c>
      <c r="H496" s="52">
        <v>655.29369999999994</v>
      </c>
      <c r="I496" s="52">
        <v>1310.5872999999999</v>
      </c>
      <c r="J496" s="52">
        <v>376.08229999999998</v>
      </c>
      <c r="K496" s="52">
        <v>1128.2470000000001</v>
      </c>
      <c r="L496" s="52">
        <v>376.08229999999998</v>
      </c>
      <c r="M496" s="52">
        <v>376.08229999999998</v>
      </c>
      <c r="N496" s="5" t="s">
        <v>69</v>
      </c>
    </row>
    <row r="497" spans="1:14" x14ac:dyDescent="0.25">
      <c r="A497" s="51">
        <v>1.286</v>
      </c>
      <c r="B497" s="52">
        <v>7502.9229999999998</v>
      </c>
      <c r="C497" s="52">
        <v>655.80359999999996</v>
      </c>
      <c r="D497" s="52">
        <v>0</v>
      </c>
      <c r="E497" s="52">
        <v>0</v>
      </c>
      <c r="F497" s="52">
        <v>1967.4109000000001</v>
      </c>
      <c r="G497" s="52">
        <v>655.80359999999996</v>
      </c>
      <c r="H497" s="52">
        <v>655.80359999999996</v>
      </c>
      <c r="I497" s="52">
        <v>1311.6072999999999</v>
      </c>
      <c r="J497" s="52">
        <v>376.08229999999998</v>
      </c>
      <c r="K497" s="52">
        <v>1128.2470000000001</v>
      </c>
      <c r="L497" s="52">
        <v>376.08229999999998</v>
      </c>
      <c r="M497" s="52">
        <v>376.08229999999998</v>
      </c>
      <c r="N497" s="5" t="s">
        <v>69</v>
      </c>
    </row>
    <row r="498" spans="1:14" x14ac:dyDescent="0.25">
      <c r="A498" s="51">
        <v>1.2869999999999999</v>
      </c>
      <c r="B498" s="52">
        <v>7507.0027</v>
      </c>
      <c r="C498" s="52">
        <v>656.31359999999995</v>
      </c>
      <c r="D498" s="52">
        <v>0</v>
      </c>
      <c r="E498" s="52">
        <v>0</v>
      </c>
      <c r="F498" s="52">
        <v>1968.9408000000001</v>
      </c>
      <c r="G498" s="52">
        <v>656.31359999999995</v>
      </c>
      <c r="H498" s="52">
        <v>656.31359999999995</v>
      </c>
      <c r="I498" s="52">
        <v>1312.6271999999999</v>
      </c>
      <c r="J498" s="52">
        <v>376.08229999999998</v>
      </c>
      <c r="K498" s="52">
        <v>1128.2470000000001</v>
      </c>
      <c r="L498" s="52">
        <v>376.08229999999998</v>
      </c>
      <c r="M498" s="52">
        <v>376.08229999999998</v>
      </c>
      <c r="N498" s="5" t="s">
        <v>69</v>
      </c>
    </row>
    <row r="499" spans="1:14" x14ac:dyDescent="0.25">
      <c r="A499" s="51">
        <v>1.288</v>
      </c>
      <c r="B499" s="52">
        <v>7511.0823</v>
      </c>
      <c r="C499" s="52">
        <v>656.82349999999997</v>
      </c>
      <c r="D499" s="52">
        <v>0</v>
      </c>
      <c r="E499" s="52">
        <v>0</v>
      </c>
      <c r="F499" s="52">
        <v>1970.4706000000001</v>
      </c>
      <c r="G499" s="52">
        <v>656.82349999999997</v>
      </c>
      <c r="H499" s="52">
        <v>656.82349999999997</v>
      </c>
      <c r="I499" s="52">
        <v>1313.6470999999999</v>
      </c>
      <c r="J499" s="52">
        <v>376.08229999999998</v>
      </c>
      <c r="K499" s="52">
        <v>1128.2470000000001</v>
      </c>
      <c r="L499" s="52">
        <v>376.08229999999998</v>
      </c>
      <c r="M499" s="52">
        <v>376.08229999999998</v>
      </c>
      <c r="N499" s="5" t="s">
        <v>69</v>
      </c>
    </row>
    <row r="500" spans="1:14" x14ac:dyDescent="0.25">
      <c r="A500" s="51">
        <v>1.2889999999999999</v>
      </c>
      <c r="B500" s="52">
        <v>7515.1620000000003</v>
      </c>
      <c r="C500" s="52">
        <v>657.33349999999996</v>
      </c>
      <c r="D500" s="52">
        <v>0</v>
      </c>
      <c r="E500" s="52">
        <v>0</v>
      </c>
      <c r="F500" s="52">
        <v>1972.0005000000001</v>
      </c>
      <c r="G500" s="52">
        <v>657.33349999999996</v>
      </c>
      <c r="H500" s="52">
        <v>657.33349999999996</v>
      </c>
      <c r="I500" s="52">
        <v>1314.6669999999999</v>
      </c>
      <c r="J500" s="52">
        <v>376.08229999999998</v>
      </c>
      <c r="K500" s="52">
        <v>1128.2470000000001</v>
      </c>
      <c r="L500" s="52">
        <v>376.08229999999998</v>
      </c>
      <c r="M500" s="52">
        <v>376.08229999999998</v>
      </c>
      <c r="N500" s="5" t="s">
        <v>69</v>
      </c>
    </row>
    <row r="501" spans="1:14" x14ac:dyDescent="0.25">
      <c r="A501" s="51">
        <v>1.29</v>
      </c>
      <c r="B501" s="52">
        <v>7519.2416000000003</v>
      </c>
      <c r="C501" s="52">
        <v>657.84349999999995</v>
      </c>
      <c r="D501" s="52">
        <v>0</v>
      </c>
      <c r="E501" s="52">
        <v>0</v>
      </c>
      <c r="F501" s="52">
        <v>1973.5304000000001</v>
      </c>
      <c r="G501" s="52">
        <v>657.84349999999995</v>
      </c>
      <c r="H501" s="52">
        <v>657.84349999999995</v>
      </c>
      <c r="I501" s="52">
        <v>1315.6868999999999</v>
      </c>
      <c r="J501" s="52">
        <v>376.08229999999998</v>
      </c>
      <c r="K501" s="52">
        <v>1128.2470000000001</v>
      </c>
      <c r="L501" s="52">
        <v>376.08229999999998</v>
      </c>
      <c r="M501" s="52">
        <v>376.08229999999998</v>
      </c>
      <c r="N501" s="5" t="s">
        <v>69</v>
      </c>
    </row>
    <row r="502" spans="1:14" x14ac:dyDescent="0.25">
      <c r="A502" s="51">
        <v>1.2909999999999999</v>
      </c>
      <c r="B502" s="52">
        <v>7523.3212999999996</v>
      </c>
      <c r="C502" s="52">
        <v>658.35339999999997</v>
      </c>
      <c r="D502" s="52">
        <v>0</v>
      </c>
      <c r="E502" s="52">
        <v>0</v>
      </c>
      <c r="F502" s="52">
        <v>1975.0601999999999</v>
      </c>
      <c r="G502" s="52">
        <v>658.35339999999997</v>
      </c>
      <c r="H502" s="52">
        <v>658.35339999999997</v>
      </c>
      <c r="I502" s="52">
        <v>1316.7067999999999</v>
      </c>
      <c r="J502" s="52">
        <v>376.08229999999998</v>
      </c>
      <c r="K502" s="52">
        <v>1128.2470000000001</v>
      </c>
      <c r="L502" s="52">
        <v>376.08229999999998</v>
      </c>
      <c r="M502" s="52">
        <v>376.08229999999998</v>
      </c>
      <c r="N502" s="5" t="s">
        <v>69</v>
      </c>
    </row>
    <row r="503" spans="1:14" x14ac:dyDescent="0.25">
      <c r="A503" s="51">
        <v>1.292</v>
      </c>
      <c r="B503" s="52">
        <v>7527.4008999999996</v>
      </c>
      <c r="C503" s="52">
        <v>658.86339999999996</v>
      </c>
      <c r="D503" s="52">
        <v>0</v>
      </c>
      <c r="E503" s="52">
        <v>0</v>
      </c>
      <c r="F503" s="52">
        <v>1976.5900999999999</v>
      </c>
      <c r="G503" s="52">
        <v>658.86339999999996</v>
      </c>
      <c r="H503" s="52">
        <v>658.86339999999996</v>
      </c>
      <c r="I503" s="52">
        <v>1317.7266999999999</v>
      </c>
      <c r="J503" s="52">
        <v>376.08229999999998</v>
      </c>
      <c r="K503" s="52">
        <v>1128.2470000000001</v>
      </c>
      <c r="L503" s="52">
        <v>376.08229999999998</v>
      </c>
      <c r="M503" s="52">
        <v>376.08229999999998</v>
      </c>
      <c r="N503" s="5" t="s">
        <v>69</v>
      </c>
    </row>
    <row r="504" spans="1:14" x14ac:dyDescent="0.25">
      <c r="A504" s="51">
        <v>1.2929999999999999</v>
      </c>
      <c r="B504" s="52">
        <v>7531.4805999999999</v>
      </c>
      <c r="C504" s="52">
        <v>659.37329999999997</v>
      </c>
      <c r="D504" s="52">
        <v>0</v>
      </c>
      <c r="E504" s="52">
        <v>0</v>
      </c>
      <c r="F504" s="52">
        <v>1978.12</v>
      </c>
      <c r="G504" s="52">
        <v>659.37329999999997</v>
      </c>
      <c r="H504" s="52">
        <v>659.37329999999997</v>
      </c>
      <c r="I504" s="52">
        <v>1318.7465999999999</v>
      </c>
      <c r="J504" s="52">
        <v>376.08229999999998</v>
      </c>
      <c r="K504" s="52">
        <v>1128.2470000000001</v>
      </c>
      <c r="L504" s="52">
        <v>376.08229999999998</v>
      </c>
      <c r="M504" s="52">
        <v>376.08229999999998</v>
      </c>
      <c r="N504" s="5" t="s">
        <v>69</v>
      </c>
    </row>
    <row r="505" spans="1:14" x14ac:dyDescent="0.25">
      <c r="A505" s="51">
        <v>1.294</v>
      </c>
      <c r="B505" s="52">
        <v>7535.5601999999999</v>
      </c>
      <c r="C505" s="52">
        <v>659.88329999999996</v>
      </c>
      <c r="D505" s="52">
        <v>0</v>
      </c>
      <c r="E505" s="52">
        <v>0</v>
      </c>
      <c r="F505" s="52">
        <v>1979.6497999999999</v>
      </c>
      <c r="G505" s="52">
        <v>659.88329999999996</v>
      </c>
      <c r="H505" s="52">
        <v>659.88329999999996</v>
      </c>
      <c r="I505" s="52">
        <v>1319.7665999999999</v>
      </c>
      <c r="J505" s="52">
        <v>376.08229999999998</v>
      </c>
      <c r="K505" s="52">
        <v>1128.2470000000001</v>
      </c>
      <c r="L505" s="52">
        <v>376.08229999999998</v>
      </c>
      <c r="M505" s="52">
        <v>376.08229999999998</v>
      </c>
      <c r="N505" s="5" t="s">
        <v>69</v>
      </c>
    </row>
    <row r="506" spans="1:14" x14ac:dyDescent="0.25">
      <c r="A506" s="51">
        <v>1.2949999999999999</v>
      </c>
      <c r="B506" s="52">
        <v>7539.6399000000001</v>
      </c>
      <c r="C506" s="52">
        <v>660.39319999999998</v>
      </c>
      <c r="D506" s="52">
        <v>0</v>
      </c>
      <c r="E506" s="52">
        <v>0</v>
      </c>
      <c r="F506" s="52">
        <v>1981.1796999999999</v>
      </c>
      <c r="G506" s="52">
        <v>660.39319999999998</v>
      </c>
      <c r="H506" s="52">
        <v>660.39319999999998</v>
      </c>
      <c r="I506" s="52">
        <v>1320.7864999999999</v>
      </c>
      <c r="J506" s="52">
        <v>376.08229999999998</v>
      </c>
      <c r="K506" s="52">
        <v>1128.2470000000001</v>
      </c>
      <c r="L506" s="52">
        <v>376.08229999999998</v>
      </c>
      <c r="M506" s="52">
        <v>376.08229999999998</v>
      </c>
      <c r="N506" s="5" t="s">
        <v>69</v>
      </c>
    </row>
    <row r="507" spans="1:14" x14ac:dyDescent="0.25">
      <c r="A507" s="51">
        <v>1.296</v>
      </c>
      <c r="B507" s="52">
        <v>7543.7195000000002</v>
      </c>
      <c r="C507" s="52">
        <v>660.90319999999997</v>
      </c>
      <c r="D507" s="52">
        <v>0</v>
      </c>
      <c r="E507" s="52">
        <v>0</v>
      </c>
      <c r="F507" s="52">
        <v>1982.7095999999999</v>
      </c>
      <c r="G507" s="52">
        <v>660.90319999999997</v>
      </c>
      <c r="H507" s="52">
        <v>660.90319999999997</v>
      </c>
      <c r="I507" s="52">
        <v>1321.8063999999999</v>
      </c>
      <c r="J507" s="52">
        <v>376.08229999999998</v>
      </c>
      <c r="K507" s="52">
        <v>1128.2470000000001</v>
      </c>
      <c r="L507" s="52">
        <v>376.08229999999998</v>
      </c>
      <c r="M507" s="52">
        <v>376.08229999999998</v>
      </c>
      <c r="N507" s="5" t="s">
        <v>69</v>
      </c>
    </row>
    <row r="508" spans="1:14" x14ac:dyDescent="0.25">
      <c r="A508" s="51">
        <v>1.2969999999999999</v>
      </c>
      <c r="B508" s="52">
        <v>7547.7992000000004</v>
      </c>
      <c r="C508" s="52">
        <v>661.41309999999999</v>
      </c>
      <c r="D508" s="52">
        <v>0</v>
      </c>
      <c r="E508" s="52">
        <v>0</v>
      </c>
      <c r="F508" s="52">
        <v>1984.2393999999999</v>
      </c>
      <c r="G508" s="52">
        <v>661.41309999999999</v>
      </c>
      <c r="H508" s="52">
        <v>661.41309999999999</v>
      </c>
      <c r="I508" s="52">
        <v>1322.8262999999999</v>
      </c>
      <c r="J508" s="52">
        <v>376.08229999999998</v>
      </c>
      <c r="K508" s="52">
        <v>1128.2470000000001</v>
      </c>
      <c r="L508" s="52">
        <v>376.08229999999998</v>
      </c>
      <c r="M508" s="52">
        <v>376.08229999999998</v>
      </c>
      <c r="N508" s="5" t="s">
        <v>69</v>
      </c>
    </row>
    <row r="509" spans="1:14" x14ac:dyDescent="0.25">
      <c r="A509" s="51">
        <v>1.298</v>
      </c>
      <c r="B509" s="52">
        <v>7551.8788000000004</v>
      </c>
      <c r="C509" s="52">
        <v>661.92309999999998</v>
      </c>
      <c r="D509" s="52">
        <v>0</v>
      </c>
      <c r="E509" s="52">
        <v>0</v>
      </c>
      <c r="F509" s="52">
        <v>1985.7692999999999</v>
      </c>
      <c r="G509" s="52">
        <v>661.92309999999998</v>
      </c>
      <c r="H509" s="52">
        <v>661.92309999999998</v>
      </c>
      <c r="I509" s="52">
        <v>1323.8462</v>
      </c>
      <c r="J509" s="52">
        <v>376.08229999999998</v>
      </c>
      <c r="K509" s="52">
        <v>1128.2470000000001</v>
      </c>
      <c r="L509" s="52">
        <v>376.08229999999998</v>
      </c>
      <c r="M509" s="52">
        <v>376.08229999999998</v>
      </c>
      <c r="N509" s="5" t="s">
        <v>69</v>
      </c>
    </row>
    <row r="510" spans="1:14" x14ac:dyDescent="0.25">
      <c r="A510" s="51">
        <v>1.2989999999999999</v>
      </c>
      <c r="B510" s="52">
        <v>7555.9584999999997</v>
      </c>
      <c r="C510" s="52">
        <v>662.43309999999997</v>
      </c>
      <c r="D510" s="52">
        <v>0</v>
      </c>
      <c r="E510" s="52">
        <v>0</v>
      </c>
      <c r="F510" s="52">
        <v>1987.2991999999999</v>
      </c>
      <c r="G510" s="52">
        <v>662.43309999999997</v>
      </c>
      <c r="H510" s="52">
        <v>662.43309999999997</v>
      </c>
      <c r="I510" s="52">
        <v>1324.8661</v>
      </c>
      <c r="J510" s="52">
        <v>376.08229999999998</v>
      </c>
      <c r="K510" s="52">
        <v>1128.2470000000001</v>
      </c>
      <c r="L510" s="52">
        <v>376.08229999999998</v>
      </c>
      <c r="M510" s="52">
        <v>376.08229999999998</v>
      </c>
      <c r="N510" s="5" t="s">
        <v>69</v>
      </c>
    </row>
    <row r="511" spans="1:14" x14ac:dyDescent="0.25">
      <c r="A511" s="51">
        <v>1.3</v>
      </c>
      <c r="B511" s="52">
        <v>7593.8185999999996</v>
      </c>
      <c r="C511" s="52">
        <v>667.16560000000004</v>
      </c>
      <c r="D511" s="52">
        <v>0</v>
      </c>
      <c r="E511" s="52">
        <v>0</v>
      </c>
      <c r="F511" s="52">
        <v>2001.4966999999999</v>
      </c>
      <c r="G511" s="52">
        <v>667.16560000000004</v>
      </c>
      <c r="H511" s="52">
        <v>667.16560000000004</v>
      </c>
      <c r="I511" s="52">
        <v>1334.3312000000001</v>
      </c>
      <c r="J511" s="52">
        <v>376.08229999999998</v>
      </c>
      <c r="K511" s="52">
        <v>1128.2470000000001</v>
      </c>
      <c r="L511" s="52">
        <v>376.08229999999998</v>
      </c>
      <c r="M511" s="52">
        <v>376.08229999999998</v>
      </c>
      <c r="N511" s="5" t="s">
        <v>69</v>
      </c>
    </row>
    <row r="512" spans="1:14" x14ac:dyDescent="0.25">
      <c r="A512" s="51">
        <v>1.3009999999999999</v>
      </c>
      <c r="B512" s="52">
        <v>7597.9242999999997</v>
      </c>
      <c r="C512" s="52">
        <v>667.67880000000002</v>
      </c>
      <c r="D512" s="52">
        <v>0</v>
      </c>
      <c r="E512" s="52">
        <v>0</v>
      </c>
      <c r="F512" s="52">
        <v>2003.0364</v>
      </c>
      <c r="G512" s="52">
        <v>667.67880000000002</v>
      </c>
      <c r="H512" s="52">
        <v>667.67880000000002</v>
      </c>
      <c r="I512" s="52">
        <v>1335.3576</v>
      </c>
      <c r="J512" s="52">
        <v>376.08229999999998</v>
      </c>
      <c r="K512" s="52">
        <v>1128.2470000000001</v>
      </c>
      <c r="L512" s="52">
        <v>376.08229999999998</v>
      </c>
      <c r="M512" s="52">
        <v>376.08229999999998</v>
      </c>
      <c r="N512" s="5" t="s">
        <v>69</v>
      </c>
    </row>
    <row r="513" spans="1:14" x14ac:dyDescent="0.25">
      <c r="A513" s="51">
        <v>1.302</v>
      </c>
      <c r="B513" s="52">
        <v>7602.0299000000005</v>
      </c>
      <c r="C513" s="52">
        <v>668.19200000000001</v>
      </c>
      <c r="D513" s="52">
        <v>0</v>
      </c>
      <c r="E513" s="52">
        <v>0</v>
      </c>
      <c r="F513" s="52">
        <v>2004.576</v>
      </c>
      <c r="G513" s="52">
        <v>668.19200000000001</v>
      </c>
      <c r="H513" s="52">
        <v>668.19200000000001</v>
      </c>
      <c r="I513" s="52">
        <v>1336.384</v>
      </c>
      <c r="J513" s="52">
        <v>376.08229999999998</v>
      </c>
      <c r="K513" s="52">
        <v>1128.2470000000001</v>
      </c>
      <c r="L513" s="52">
        <v>376.08229999999998</v>
      </c>
      <c r="M513" s="52">
        <v>376.08229999999998</v>
      </c>
      <c r="N513" s="5" t="s">
        <v>69</v>
      </c>
    </row>
    <row r="514" spans="1:14" x14ac:dyDescent="0.25">
      <c r="A514" s="51">
        <v>1.3029999999999999</v>
      </c>
      <c r="B514" s="52">
        <v>7606.1355000000003</v>
      </c>
      <c r="C514" s="52">
        <v>668.70519999999999</v>
      </c>
      <c r="D514" s="52">
        <v>0</v>
      </c>
      <c r="E514" s="52">
        <v>0</v>
      </c>
      <c r="F514" s="52">
        <v>2006.1156000000001</v>
      </c>
      <c r="G514" s="52">
        <v>668.70519999999999</v>
      </c>
      <c r="H514" s="52">
        <v>668.70519999999999</v>
      </c>
      <c r="I514" s="52">
        <v>1337.4104</v>
      </c>
      <c r="J514" s="52">
        <v>376.08229999999998</v>
      </c>
      <c r="K514" s="52">
        <v>1128.2470000000001</v>
      </c>
      <c r="L514" s="52">
        <v>376.08229999999998</v>
      </c>
      <c r="M514" s="52">
        <v>376.08229999999998</v>
      </c>
      <c r="N514" s="5" t="s">
        <v>69</v>
      </c>
    </row>
    <row r="515" spans="1:14" x14ac:dyDescent="0.25">
      <c r="A515" s="51">
        <v>1.304</v>
      </c>
      <c r="B515" s="52">
        <v>7610.2412000000004</v>
      </c>
      <c r="C515" s="52">
        <v>669.21839999999997</v>
      </c>
      <c r="D515" s="52">
        <v>0</v>
      </c>
      <c r="E515" s="52">
        <v>0</v>
      </c>
      <c r="F515" s="52">
        <v>2007.6551999999999</v>
      </c>
      <c r="G515" s="52">
        <v>669.21839999999997</v>
      </c>
      <c r="H515" s="52">
        <v>669.21839999999997</v>
      </c>
      <c r="I515" s="52">
        <v>1338.4367999999999</v>
      </c>
      <c r="J515" s="52">
        <v>376.08229999999998</v>
      </c>
      <c r="K515" s="52">
        <v>1128.2470000000001</v>
      </c>
      <c r="L515" s="52">
        <v>376.08229999999998</v>
      </c>
      <c r="M515" s="52">
        <v>376.08229999999998</v>
      </c>
      <c r="N515" s="5" t="s">
        <v>69</v>
      </c>
    </row>
    <row r="516" spans="1:14" x14ac:dyDescent="0.25">
      <c r="A516" s="51">
        <v>1.3049999999999999</v>
      </c>
      <c r="B516" s="52">
        <v>7614.3468000000003</v>
      </c>
      <c r="C516" s="52">
        <v>669.73159999999996</v>
      </c>
      <c r="D516" s="52">
        <v>0</v>
      </c>
      <c r="E516" s="52">
        <v>0</v>
      </c>
      <c r="F516" s="52">
        <v>2009.1948</v>
      </c>
      <c r="G516" s="52">
        <v>669.73159999999996</v>
      </c>
      <c r="H516" s="52">
        <v>669.73159999999996</v>
      </c>
      <c r="I516" s="52">
        <v>1339.4631999999999</v>
      </c>
      <c r="J516" s="52">
        <v>376.08229999999998</v>
      </c>
      <c r="K516" s="52">
        <v>1128.2470000000001</v>
      </c>
      <c r="L516" s="52">
        <v>376.08229999999998</v>
      </c>
      <c r="M516" s="52">
        <v>376.08229999999998</v>
      </c>
      <c r="N516" s="5" t="s">
        <v>69</v>
      </c>
    </row>
    <row r="517" spans="1:14" x14ac:dyDescent="0.25">
      <c r="A517" s="51">
        <v>1.306</v>
      </c>
      <c r="B517" s="52">
        <v>7618.4524000000001</v>
      </c>
      <c r="C517" s="52">
        <v>670.24480000000005</v>
      </c>
      <c r="D517" s="52">
        <v>0</v>
      </c>
      <c r="E517" s="52">
        <v>0</v>
      </c>
      <c r="F517" s="52">
        <v>2010.7344000000001</v>
      </c>
      <c r="G517" s="52">
        <v>670.24480000000005</v>
      </c>
      <c r="H517" s="52">
        <v>670.24480000000005</v>
      </c>
      <c r="I517" s="52">
        <v>1340.4896000000001</v>
      </c>
      <c r="J517" s="52">
        <v>376.08229999999998</v>
      </c>
      <c r="K517" s="52">
        <v>1128.2470000000001</v>
      </c>
      <c r="L517" s="52">
        <v>376.08229999999998</v>
      </c>
      <c r="M517" s="52">
        <v>376.08229999999998</v>
      </c>
      <c r="N517" s="5" t="s">
        <v>69</v>
      </c>
    </row>
    <row r="518" spans="1:14" x14ac:dyDescent="0.25">
      <c r="A518" s="51">
        <v>1.3069999999999999</v>
      </c>
      <c r="B518" s="52">
        <v>7622.5581000000002</v>
      </c>
      <c r="C518" s="52">
        <v>670.75800000000004</v>
      </c>
      <c r="D518" s="52">
        <v>0</v>
      </c>
      <c r="E518" s="52">
        <v>0</v>
      </c>
      <c r="F518" s="52">
        <v>2012.2739999999999</v>
      </c>
      <c r="G518" s="52">
        <v>670.75800000000004</v>
      </c>
      <c r="H518" s="52">
        <v>670.75800000000004</v>
      </c>
      <c r="I518" s="52">
        <v>1341.5160000000001</v>
      </c>
      <c r="J518" s="52">
        <v>376.08229999999998</v>
      </c>
      <c r="K518" s="52">
        <v>1128.2470000000001</v>
      </c>
      <c r="L518" s="52">
        <v>376.08229999999998</v>
      </c>
      <c r="M518" s="52">
        <v>376.08229999999998</v>
      </c>
      <c r="N518" s="5" t="s">
        <v>69</v>
      </c>
    </row>
    <row r="519" spans="1:14" x14ac:dyDescent="0.25">
      <c r="A519" s="51">
        <v>1.3080000000000001</v>
      </c>
      <c r="B519" s="52">
        <v>7626.6637000000001</v>
      </c>
      <c r="C519" s="52">
        <v>671.27120000000002</v>
      </c>
      <c r="D519" s="52">
        <v>0</v>
      </c>
      <c r="E519" s="52">
        <v>0</v>
      </c>
      <c r="F519" s="52">
        <v>2013.8136</v>
      </c>
      <c r="G519" s="52">
        <v>671.27120000000002</v>
      </c>
      <c r="H519" s="52">
        <v>671.27120000000002</v>
      </c>
      <c r="I519" s="52">
        <v>1342.5424</v>
      </c>
      <c r="J519" s="52">
        <v>376.08229999999998</v>
      </c>
      <c r="K519" s="52">
        <v>1128.2470000000001</v>
      </c>
      <c r="L519" s="52">
        <v>376.08229999999998</v>
      </c>
      <c r="M519" s="52">
        <v>376.08229999999998</v>
      </c>
      <c r="N519" s="5" t="s">
        <v>69</v>
      </c>
    </row>
    <row r="520" spans="1:14" x14ac:dyDescent="0.25">
      <c r="A520" s="51">
        <v>1.3089999999999999</v>
      </c>
      <c r="B520" s="52">
        <v>7630.7692999999999</v>
      </c>
      <c r="C520" s="52">
        <v>671.78440000000001</v>
      </c>
      <c r="D520" s="52">
        <v>0</v>
      </c>
      <c r="E520" s="52">
        <v>0</v>
      </c>
      <c r="F520" s="52">
        <v>2015.3533</v>
      </c>
      <c r="G520" s="52">
        <v>671.78440000000001</v>
      </c>
      <c r="H520" s="52">
        <v>671.78440000000001</v>
      </c>
      <c r="I520" s="52">
        <v>1343.5688</v>
      </c>
      <c r="J520" s="52">
        <v>376.08229999999998</v>
      </c>
      <c r="K520" s="52">
        <v>1128.2470000000001</v>
      </c>
      <c r="L520" s="52">
        <v>376.08229999999998</v>
      </c>
      <c r="M520" s="52">
        <v>376.08229999999998</v>
      </c>
      <c r="N520" s="5" t="s">
        <v>69</v>
      </c>
    </row>
    <row r="521" spans="1:14" x14ac:dyDescent="0.25">
      <c r="A521" s="51">
        <v>1.31</v>
      </c>
      <c r="B521" s="52">
        <v>7634.875</v>
      </c>
      <c r="C521" s="52">
        <v>672.29759999999999</v>
      </c>
      <c r="D521" s="52">
        <v>0</v>
      </c>
      <c r="E521" s="52">
        <v>0</v>
      </c>
      <c r="F521" s="52">
        <v>2016.8929000000001</v>
      </c>
      <c r="G521" s="52">
        <v>672.29759999999999</v>
      </c>
      <c r="H521" s="52">
        <v>672.29759999999999</v>
      </c>
      <c r="I521" s="52">
        <v>1344.5952</v>
      </c>
      <c r="J521" s="52">
        <v>376.08229999999998</v>
      </c>
      <c r="K521" s="52">
        <v>1128.2470000000001</v>
      </c>
      <c r="L521" s="52">
        <v>376.08229999999998</v>
      </c>
      <c r="M521" s="52">
        <v>376.08229999999998</v>
      </c>
      <c r="N521" s="5" t="s">
        <v>69</v>
      </c>
    </row>
    <row r="522" spans="1:14" x14ac:dyDescent="0.25">
      <c r="A522" s="51">
        <v>1.3109999999999999</v>
      </c>
      <c r="B522" s="52">
        <v>7638.9805999999999</v>
      </c>
      <c r="C522" s="52">
        <v>672.81079999999997</v>
      </c>
      <c r="D522" s="52">
        <v>0</v>
      </c>
      <c r="E522" s="52">
        <v>0</v>
      </c>
      <c r="F522" s="52">
        <v>2018.4324999999999</v>
      </c>
      <c r="G522" s="52">
        <v>672.81079999999997</v>
      </c>
      <c r="H522" s="52">
        <v>672.81079999999997</v>
      </c>
      <c r="I522" s="52">
        <v>1345.6216999999999</v>
      </c>
      <c r="J522" s="52">
        <v>376.08229999999998</v>
      </c>
      <c r="K522" s="52">
        <v>1128.2470000000001</v>
      </c>
      <c r="L522" s="52">
        <v>376.08229999999998</v>
      </c>
      <c r="M522" s="52">
        <v>376.08229999999998</v>
      </c>
      <c r="N522" s="5" t="s">
        <v>69</v>
      </c>
    </row>
    <row r="523" spans="1:14" x14ac:dyDescent="0.25">
      <c r="A523" s="51">
        <v>1.3120000000000001</v>
      </c>
      <c r="B523" s="52">
        <v>7643.0862999999999</v>
      </c>
      <c r="C523" s="52">
        <v>673.32399999999996</v>
      </c>
      <c r="D523" s="52">
        <v>0</v>
      </c>
      <c r="E523" s="52">
        <v>0</v>
      </c>
      <c r="F523" s="52">
        <v>2019.9721</v>
      </c>
      <c r="G523" s="52">
        <v>673.32399999999996</v>
      </c>
      <c r="H523" s="52">
        <v>673.32399999999996</v>
      </c>
      <c r="I523" s="52">
        <v>1346.6481000000001</v>
      </c>
      <c r="J523" s="52">
        <v>376.08229999999998</v>
      </c>
      <c r="K523" s="52">
        <v>1128.2470000000001</v>
      </c>
      <c r="L523" s="52">
        <v>376.08229999999998</v>
      </c>
      <c r="M523" s="52">
        <v>376.08229999999998</v>
      </c>
      <c r="N523" s="5" t="s">
        <v>69</v>
      </c>
    </row>
    <row r="524" spans="1:14" x14ac:dyDescent="0.25">
      <c r="A524" s="51">
        <v>1.3129999999999999</v>
      </c>
      <c r="B524" s="52">
        <v>7647.1918999999998</v>
      </c>
      <c r="C524" s="52">
        <v>673.83720000000005</v>
      </c>
      <c r="D524" s="52">
        <v>0</v>
      </c>
      <c r="E524" s="52">
        <v>0</v>
      </c>
      <c r="F524" s="52">
        <v>2021.5117</v>
      </c>
      <c r="G524" s="52">
        <v>673.83720000000005</v>
      </c>
      <c r="H524" s="52">
        <v>673.83720000000005</v>
      </c>
      <c r="I524" s="52">
        <v>1347.6745000000001</v>
      </c>
      <c r="J524" s="52">
        <v>376.08229999999998</v>
      </c>
      <c r="K524" s="52">
        <v>1128.2470000000001</v>
      </c>
      <c r="L524" s="52">
        <v>376.08229999999998</v>
      </c>
      <c r="M524" s="52">
        <v>376.08229999999998</v>
      </c>
      <c r="N524" s="5" t="s">
        <v>69</v>
      </c>
    </row>
    <row r="525" spans="1:14" x14ac:dyDescent="0.25">
      <c r="A525" s="51">
        <v>1.3140000000000001</v>
      </c>
      <c r="B525" s="52">
        <v>7651.2974999999997</v>
      </c>
      <c r="C525" s="52">
        <v>674.35040000000004</v>
      </c>
      <c r="D525" s="52">
        <v>0</v>
      </c>
      <c r="E525" s="52">
        <v>0</v>
      </c>
      <c r="F525" s="52">
        <v>2023.0513000000001</v>
      </c>
      <c r="G525" s="52">
        <v>674.35040000000004</v>
      </c>
      <c r="H525" s="52">
        <v>674.35040000000004</v>
      </c>
      <c r="I525" s="52">
        <v>1348.7009</v>
      </c>
      <c r="J525" s="52">
        <v>376.08229999999998</v>
      </c>
      <c r="K525" s="52">
        <v>1128.2470000000001</v>
      </c>
      <c r="L525" s="52">
        <v>376.08229999999998</v>
      </c>
      <c r="M525" s="52">
        <v>376.08229999999998</v>
      </c>
      <c r="N525" s="5" t="s">
        <v>69</v>
      </c>
    </row>
    <row r="526" spans="1:14" x14ac:dyDescent="0.25">
      <c r="A526" s="51">
        <v>1.3149999999999999</v>
      </c>
      <c r="B526" s="52">
        <v>7655.4031999999997</v>
      </c>
      <c r="C526" s="52">
        <v>674.86360000000002</v>
      </c>
      <c r="D526" s="52">
        <v>0</v>
      </c>
      <c r="E526" s="52">
        <v>0</v>
      </c>
      <c r="F526" s="52">
        <v>2024.5908999999999</v>
      </c>
      <c r="G526" s="52">
        <v>674.86360000000002</v>
      </c>
      <c r="H526" s="52">
        <v>674.86360000000002</v>
      </c>
      <c r="I526" s="52">
        <v>1349.7273</v>
      </c>
      <c r="J526" s="52">
        <v>376.08229999999998</v>
      </c>
      <c r="K526" s="52">
        <v>1128.2470000000001</v>
      </c>
      <c r="L526" s="52">
        <v>376.08229999999998</v>
      </c>
      <c r="M526" s="52">
        <v>376.08229999999998</v>
      </c>
      <c r="N526" s="5" t="s">
        <v>69</v>
      </c>
    </row>
    <row r="527" spans="1:14" x14ac:dyDescent="0.25">
      <c r="A527" s="51">
        <v>1.3160000000000001</v>
      </c>
      <c r="B527" s="52">
        <v>7659.5087999999996</v>
      </c>
      <c r="C527" s="52">
        <v>675.3768</v>
      </c>
      <c r="D527" s="52">
        <v>0</v>
      </c>
      <c r="E527" s="52">
        <v>0</v>
      </c>
      <c r="F527" s="52">
        <v>2026.1305</v>
      </c>
      <c r="G527" s="52">
        <v>675.3768</v>
      </c>
      <c r="H527" s="52">
        <v>675.3768</v>
      </c>
      <c r="I527" s="52">
        <v>1350.7537</v>
      </c>
      <c r="J527" s="52">
        <v>376.08229999999998</v>
      </c>
      <c r="K527" s="52">
        <v>1128.2470000000001</v>
      </c>
      <c r="L527" s="52">
        <v>376.08229999999998</v>
      </c>
      <c r="M527" s="52">
        <v>376.08229999999998</v>
      </c>
      <c r="N527" s="5" t="s">
        <v>69</v>
      </c>
    </row>
    <row r="528" spans="1:14" x14ac:dyDescent="0.25">
      <c r="A528" s="51">
        <v>1.3169999999999999</v>
      </c>
      <c r="B528" s="52">
        <v>7663.6144000000004</v>
      </c>
      <c r="C528" s="52">
        <v>675.89009999999996</v>
      </c>
      <c r="D528" s="52">
        <v>0</v>
      </c>
      <c r="E528" s="52">
        <v>0</v>
      </c>
      <c r="F528" s="52">
        <v>2027.6702</v>
      </c>
      <c r="G528" s="52">
        <v>675.89009999999996</v>
      </c>
      <c r="H528" s="52">
        <v>675.89009999999996</v>
      </c>
      <c r="I528" s="52">
        <v>1351.7800999999999</v>
      </c>
      <c r="J528" s="52">
        <v>376.08229999999998</v>
      </c>
      <c r="K528" s="52">
        <v>1128.2470000000001</v>
      </c>
      <c r="L528" s="52">
        <v>376.08229999999998</v>
      </c>
      <c r="M528" s="52">
        <v>376.08229999999998</v>
      </c>
      <c r="N528" s="5" t="s">
        <v>69</v>
      </c>
    </row>
    <row r="529" spans="1:14" x14ac:dyDescent="0.25">
      <c r="A529" s="51">
        <v>1.3180000000000001</v>
      </c>
      <c r="B529" s="52">
        <v>7667.7200999999995</v>
      </c>
      <c r="C529" s="52">
        <v>676.40329999999994</v>
      </c>
      <c r="D529" s="52">
        <v>0</v>
      </c>
      <c r="E529" s="52">
        <v>0</v>
      </c>
      <c r="F529" s="52">
        <v>2029.2098000000001</v>
      </c>
      <c r="G529" s="52">
        <v>676.40329999999994</v>
      </c>
      <c r="H529" s="52">
        <v>676.40329999999994</v>
      </c>
      <c r="I529" s="52">
        <v>1352.8064999999999</v>
      </c>
      <c r="J529" s="52">
        <v>376.08229999999998</v>
      </c>
      <c r="K529" s="52">
        <v>1128.2470000000001</v>
      </c>
      <c r="L529" s="52">
        <v>376.08229999999998</v>
      </c>
      <c r="M529" s="52">
        <v>376.08229999999998</v>
      </c>
      <c r="N529" s="5" t="s">
        <v>69</v>
      </c>
    </row>
    <row r="530" spans="1:14" x14ac:dyDescent="0.25">
      <c r="A530" s="51">
        <v>1.319</v>
      </c>
      <c r="B530" s="52">
        <v>7671.8257000000003</v>
      </c>
      <c r="C530" s="52">
        <v>676.91650000000004</v>
      </c>
      <c r="D530" s="52">
        <v>0</v>
      </c>
      <c r="E530" s="52">
        <v>0</v>
      </c>
      <c r="F530" s="52">
        <v>2030.7493999999999</v>
      </c>
      <c r="G530" s="52">
        <v>676.91650000000004</v>
      </c>
      <c r="H530" s="52">
        <v>676.91650000000004</v>
      </c>
      <c r="I530" s="52">
        <v>1353.8329000000001</v>
      </c>
      <c r="J530" s="52">
        <v>376.08229999999998</v>
      </c>
      <c r="K530" s="52">
        <v>1128.2470000000001</v>
      </c>
      <c r="L530" s="52">
        <v>376.08229999999998</v>
      </c>
      <c r="M530" s="52">
        <v>376.08229999999998</v>
      </c>
      <c r="N530" s="5" t="s">
        <v>69</v>
      </c>
    </row>
    <row r="531" spans="1:14" x14ac:dyDescent="0.25">
      <c r="A531" s="51">
        <v>1.32</v>
      </c>
      <c r="B531" s="52">
        <v>7675.9313000000002</v>
      </c>
      <c r="C531" s="52">
        <v>677.42970000000003</v>
      </c>
      <c r="D531" s="52">
        <v>0</v>
      </c>
      <c r="E531" s="52">
        <v>0</v>
      </c>
      <c r="F531" s="52">
        <v>2032.289</v>
      </c>
      <c r="G531" s="52">
        <v>677.42970000000003</v>
      </c>
      <c r="H531" s="52">
        <v>677.42970000000003</v>
      </c>
      <c r="I531" s="52">
        <v>1354.8593000000001</v>
      </c>
      <c r="J531" s="52">
        <v>376.08229999999998</v>
      </c>
      <c r="K531" s="52">
        <v>1128.2470000000001</v>
      </c>
      <c r="L531" s="52">
        <v>376.08229999999998</v>
      </c>
      <c r="M531" s="52">
        <v>376.08229999999998</v>
      </c>
      <c r="N531" s="5" t="s">
        <v>69</v>
      </c>
    </row>
    <row r="532" spans="1:14" x14ac:dyDescent="0.25">
      <c r="A532" s="51">
        <v>1.321</v>
      </c>
      <c r="B532" s="52">
        <v>7680.0370000000003</v>
      </c>
      <c r="C532" s="52">
        <v>677.94290000000001</v>
      </c>
      <c r="D532" s="52">
        <v>0</v>
      </c>
      <c r="E532" s="52">
        <v>0</v>
      </c>
      <c r="F532" s="52">
        <v>2033.8286000000001</v>
      </c>
      <c r="G532" s="52">
        <v>677.94290000000001</v>
      </c>
      <c r="H532" s="52">
        <v>677.94290000000001</v>
      </c>
      <c r="I532" s="52">
        <v>1355.8857</v>
      </c>
      <c r="J532" s="52">
        <v>376.08229999999998</v>
      </c>
      <c r="K532" s="52">
        <v>1128.2470000000001</v>
      </c>
      <c r="L532" s="52">
        <v>376.08229999999998</v>
      </c>
      <c r="M532" s="52">
        <v>376.08229999999998</v>
      </c>
      <c r="N532" s="5" t="s">
        <v>69</v>
      </c>
    </row>
    <row r="533" spans="1:14" x14ac:dyDescent="0.25">
      <c r="A533" s="51">
        <v>1.3220000000000001</v>
      </c>
      <c r="B533" s="52">
        <v>7684.1426000000001</v>
      </c>
      <c r="C533" s="52">
        <v>678.45609999999999</v>
      </c>
      <c r="D533" s="52">
        <v>0</v>
      </c>
      <c r="E533" s="52">
        <v>0</v>
      </c>
      <c r="F533" s="52">
        <v>2035.3681999999999</v>
      </c>
      <c r="G533" s="52">
        <v>678.45609999999999</v>
      </c>
      <c r="H533" s="52">
        <v>678.45609999999999</v>
      </c>
      <c r="I533" s="52">
        <v>1356.9122</v>
      </c>
      <c r="J533" s="52">
        <v>376.08229999999998</v>
      </c>
      <c r="K533" s="52">
        <v>1128.2470000000001</v>
      </c>
      <c r="L533" s="52">
        <v>376.08229999999998</v>
      </c>
      <c r="M533" s="52">
        <v>376.08229999999998</v>
      </c>
      <c r="N533" s="5" t="s">
        <v>69</v>
      </c>
    </row>
    <row r="534" spans="1:14" x14ac:dyDescent="0.25">
      <c r="A534" s="51">
        <v>1.323</v>
      </c>
      <c r="B534" s="52">
        <v>7688.2482</v>
      </c>
      <c r="C534" s="52">
        <v>678.96929999999998</v>
      </c>
      <c r="D534" s="52">
        <v>0</v>
      </c>
      <c r="E534" s="52">
        <v>0</v>
      </c>
      <c r="F534" s="52">
        <v>2036.9078</v>
      </c>
      <c r="G534" s="52">
        <v>678.96929999999998</v>
      </c>
      <c r="H534" s="52">
        <v>678.96929999999998</v>
      </c>
      <c r="I534" s="52">
        <v>1357.9386</v>
      </c>
      <c r="J534" s="52">
        <v>376.08229999999998</v>
      </c>
      <c r="K534" s="52">
        <v>1128.2470000000001</v>
      </c>
      <c r="L534" s="52">
        <v>376.08229999999998</v>
      </c>
      <c r="M534" s="52">
        <v>376.08229999999998</v>
      </c>
      <c r="N534" s="5" t="s">
        <v>69</v>
      </c>
    </row>
    <row r="535" spans="1:14" x14ac:dyDescent="0.25">
      <c r="A535" s="51">
        <v>1.3240000000000001</v>
      </c>
      <c r="B535" s="52">
        <v>7692.3539000000001</v>
      </c>
      <c r="C535" s="52">
        <v>679.48249999999996</v>
      </c>
      <c r="D535" s="52">
        <v>0</v>
      </c>
      <c r="E535" s="52">
        <v>0</v>
      </c>
      <c r="F535" s="52">
        <v>2038.4475</v>
      </c>
      <c r="G535" s="52">
        <v>679.48249999999996</v>
      </c>
      <c r="H535" s="52">
        <v>679.48249999999996</v>
      </c>
      <c r="I535" s="52">
        <v>1358.9649999999999</v>
      </c>
      <c r="J535" s="52">
        <v>376.08229999999998</v>
      </c>
      <c r="K535" s="52">
        <v>1128.2470000000001</v>
      </c>
      <c r="L535" s="52">
        <v>376.08229999999998</v>
      </c>
      <c r="M535" s="52">
        <v>376.08229999999998</v>
      </c>
      <c r="N535" s="5" t="s">
        <v>69</v>
      </c>
    </row>
    <row r="536" spans="1:14" x14ac:dyDescent="0.25">
      <c r="A536" s="51">
        <v>1.325</v>
      </c>
      <c r="B536" s="52">
        <v>7696.4594999999999</v>
      </c>
      <c r="C536" s="52">
        <v>679.99570000000006</v>
      </c>
      <c r="D536" s="52">
        <v>0</v>
      </c>
      <c r="E536" s="52">
        <v>0</v>
      </c>
      <c r="F536" s="52">
        <v>2039.9871000000001</v>
      </c>
      <c r="G536" s="52">
        <v>679.99570000000006</v>
      </c>
      <c r="H536" s="52">
        <v>679.99570000000006</v>
      </c>
      <c r="I536" s="52">
        <v>1359.9914000000001</v>
      </c>
      <c r="J536" s="52">
        <v>376.08229999999998</v>
      </c>
      <c r="K536" s="52">
        <v>1128.2470000000001</v>
      </c>
      <c r="L536" s="52">
        <v>376.08229999999998</v>
      </c>
      <c r="M536" s="52">
        <v>376.08229999999998</v>
      </c>
      <c r="N536" s="5" t="s">
        <v>69</v>
      </c>
    </row>
    <row r="537" spans="1:14" x14ac:dyDescent="0.25">
      <c r="A537" s="51">
        <v>1.3260000000000001</v>
      </c>
      <c r="B537" s="52">
        <v>7700.5650999999998</v>
      </c>
      <c r="C537" s="52">
        <v>680.50890000000004</v>
      </c>
      <c r="D537" s="52">
        <v>0</v>
      </c>
      <c r="E537" s="52">
        <v>0</v>
      </c>
      <c r="F537" s="52">
        <v>2041.5266999999999</v>
      </c>
      <c r="G537" s="52">
        <v>680.50890000000004</v>
      </c>
      <c r="H537" s="52">
        <v>680.50890000000004</v>
      </c>
      <c r="I537" s="52">
        <v>1361.0178000000001</v>
      </c>
      <c r="J537" s="52">
        <v>376.08229999999998</v>
      </c>
      <c r="K537" s="52">
        <v>1128.2470000000001</v>
      </c>
      <c r="L537" s="52">
        <v>376.08229999999998</v>
      </c>
      <c r="M537" s="52">
        <v>376.08229999999998</v>
      </c>
      <c r="N537" s="5" t="s">
        <v>69</v>
      </c>
    </row>
    <row r="538" spans="1:14" x14ac:dyDescent="0.25">
      <c r="A538" s="51">
        <v>1.327</v>
      </c>
      <c r="B538" s="52">
        <v>7704.6707999999999</v>
      </c>
      <c r="C538" s="52">
        <v>681.02210000000002</v>
      </c>
      <c r="D538" s="52">
        <v>0</v>
      </c>
      <c r="E538" s="52">
        <v>0</v>
      </c>
      <c r="F538" s="52">
        <v>2043.0663</v>
      </c>
      <c r="G538" s="52">
        <v>681.02210000000002</v>
      </c>
      <c r="H538" s="52">
        <v>681.02210000000002</v>
      </c>
      <c r="I538" s="52">
        <v>1362.0442</v>
      </c>
      <c r="J538" s="52">
        <v>376.08229999999998</v>
      </c>
      <c r="K538" s="52">
        <v>1128.2470000000001</v>
      </c>
      <c r="L538" s="52">
        <v>376.08229999999998</v>
      </c>
      <c r="M538" s="52">
        <v>376.08229999999998</v>
      </c>
      <c r="N538" s="5" t="s">
        <v>69</v>
      </c>
    </row>
    <row r="539" spans="1:14" x14ac:dyDescent="0.25">
      <c r="A539" s="51">
        <v>1.3280000000000001</v>
      </c>
      <c r="B539" s="52">
        <v>7708.7763999999997</v>
      </c>
      <c r="C539" s="52">
        <v>681.53530000000001</v>
      </c>
      <c r="D539" s="52">
        <v>0</v>
      </c>
      <c r="E539" s="52">
        <v>0</v>
      </c>
      <c r="F539" s="52">
        <v>2044.6059</v>
      </c>
      <c r="G539" s="52">
        <v>681.53530000000001</v>
      </c>
      <c r="H539" s="52">
        <v>681.53530000000001</v>
      </c>
      <c r="I539" s="52">
        <v>1363.0706</v>
      </c>
      <c r="J539" s="52">
        <v>376.08229999999998</v>
      </c>
      <c r="K539" s="52">
        <v>1128.2470000000001</v>
      </c>
      <c r="L539" s="52">
        <v>376.08229999999998</v>
      </c>
      <c r="M539" s="52">
        <v>376.08229999999998</v>
      </c>
      <c r="N539" s="5" t="s">
        <v>69</v>
      </c>
    </row>
    <row r="540" spans="1:14" x14ac:dyDescent="0.25">
      <c r="A540" s="51">
        <v>1.329</v>
      </c>
      <c r="B540" s="52">
        <v>7712.8819999999996</v>
      </c>
      <c r="C540" s="52">
        <v>682.04849999999999</v>
      </c>
      <c r="D540" s="52">
        <v>0</v>
      </c>
      <c r="E540" s="52">
        <v>0</v>
      </c>
      <c r="F540" s="52">
        <v>2046.1455000000001</v>
      </c>
      <c r="G540" s="52">
        <v>682.04849999999999</v>
      </c>
      <c r="H540" s="52">
        <v>682.04849999999999</v>
      </c>
      <c r="I540" s="52">
        <v>1364.097</v>
      </c>
      <c r="J540" s="52">
        <v>376.08229999999998</v>
      </c>
      <c r="K540" s="52">
        <v>1128.2470000000001</v>
      </c>
      <c r="L540" s="52">
        <v>376.08229999999998</v>
      </c>
      <c r="M540" s="52">
        <v>376.08229999999998</v>
      </c>
      <c r="N540" s="5" t="s">
        <v>69</v>
      </c>
    </row>
    <row r="541" spans="1:14" x14ac:dyDescent="0.25">
      <c r="A541" s="51">
        <v>1.33</v>
      </c>
      <c r="B541" s="52">
        <v>7716.9876999999997</v>
      </c>
      <c r="C541" s="52">
        <v>682.56169999999997</v>
      </c>
      <c r="D541" s="52">
        <v>0</v>
      </c>
      <c r="E541" s="52">
        <v>0</v>
      </c>
      <c r="F541" s="52">
        <v>2047.6850999999999</v>
      </c>
      <c r="G541" s="52">
        <v>682.56169999999997</v>
      </c>
      <c r="H541" s="52">
        <v>682.56169999999997</v>
      </c>
      <c r="I541" s="52">
        <v>1365.1233999999999</v>
      </c>
      <c r="J541" s="52">
        <v>376.08229999999998</v>
      </c>
      <c r="K541" s="52">
        <v>1128.2470000000001</v>
      </c>
      <c r="L541" s="52">
        <v>376.08229999999998</v>
      </c>
      <c r="M541" s="52">
        <v>376.08229999999998</v>
      </c>
      <c r="N541" s="5" t="s">
        <v>69</v>
      </c>
    </row>
    <row r="542" spans="1:14" x14ac:dyDescent="0.25">
      <c r="A542" s="51">
        <v>1.331</v>
      </c>
      <c r="B542" s="52">
        <v>7721.0933000000005</v>
      </c>
      <c r="C542" s="52">
        <v>683.07489999999996</v>
      </c>
      <c r="D542" s="52">
        <v>0</v>
      </c>
      <c r="E542" s="52">
        <v>0</v>
      </c>
      <c r="F542" s="52">
        <v>2049.2247000000002</v>
      </c>
      <c r="G542" s="52">
        <v>683.07489999999996</v>
      </c>
      <c r="H542" s="52">
        <v>683.07489999999996</v>
      </c>
      <c r="I542" s="52">
        <v>1366.1497999999999</v>
      </c>
      <c r="J542" s="52">
        <v>376.08229999999998</v>
      </c>
      <c r="K542" s="52">
        <v>1128.2470000000001</v>
      </c>
      <c r="L542" s="52">
        <v>376.08229999999998</v>
      </c>
      <c r="M542" s="52">
        <v>376.08229999999998</v>
      </c>
      <c r="N542" s="5" t="s">
        <v>69</v>
      </c>
    </row>
    <row r="543" spans="1:14" x14ac:dyDescent="0.25">
      <c r="A543" s="51">
        <v>1.3320000000000001</v>
      </c>
      <c r="B543" s="52">
        <v>7725.1989000000003</v>
      </c>
      <c r="C543" s="52">
        <v>683.58810000000005</v>
      </c>
      <c r="D543" s="52">
        <v>0</v>
      </c>
      <c r="E543" s="52">
        <v>0</v>
      </c>
      <c r="F543" s="52">
        <v>2050.7644</v>
      </c>
      <c r="G543" s="52">
        <v>683.58810000000005</v>
      </c>
      <c r="H543" s="52">
        <v>683.58810000000005</v>
      </c>
      <c r="I543" s="52">
        <v>1367.1762000000001</v>
      </c>
      <c r="J543" s="52">
        <v>376.08229999999998</v>
      </c>
      <c r="K543" s="52">
        <v>1128.2470000000001</v>
      </c>
      <c r="L543" s="52">
        <v>376.08229999999998</v>
      </c>
      <c r="M543" s="52">
        <v>376.08229999999998</v>
      </c>
      <c r="N543" s="5" t="s">
        <v>69</v>
      </c>
    </row>
    <row r="544" spans="1:14" x14ac:dyDescent="0.25">
      <c r="A544" s="51">
        <v>1.333</v>
      </c>
      <c r="B544" s="52">
        <v>7729.3046000000004</v>
      </c>
      <c r="C544" s="52">
        <v>684.10130000000004</v>
      </c>
      <c r="D544" s="52">
        <v>0</v>
      </c>
      <c r="E544" s="52">
        <v>0</v>
      </c>
      <c r="F544" s="52">
        <v>2052.3040000000001</v>
      </c>
      <c r="G544" s="52">
        <v>684.10130000000004</v>
      </c>
      <c r="H544" s="52">
        <v>684.10130000000004</v>
      </c>
      <c r="I544" s="52">
        <v>1368.2026000000001</v>
      </c>
      <c r="J544" s="52">
        <v>376.08229999999998</v>
      </c>
      <c r="K544" s="52">
        <v>1128.2470000000001</v>
      </c>
      <c r="L544" s="52">
        <v>376.08229999999998</v>
      </c>
      <c r="M544" s="52">
        <v>376.08229999999998</v>
      </c>
      <c r="N544" s="5" t="s">
        <v>69</v>
      </c>
    </row>
    <row r="545" spans="1:14" x14ac:dyDescent="0.25">
      <c r="A545" s="51">
        <v>1.3340000000000001</v>
      </c>
      <c r="B545" s="52">
        <v>7733.4102000000003</v>
      </c>
      <c r="C545" s="52">
        <v>684.61450000000002</v>
      </c>
      <c r="D545" s="52">
        <v>0</v>
      </c>
      <c r="E545" s="52">
        <v>0</v>
      </c>
      <c r="F545" s="52">
        <v>2053.8436000000002</v>
      </c>
      <c r="G545" s="52">
        <v>684.61450000000002</v>
      </c>
      <c r="H545" s="52">
        <v>684.61450000000002</v>
      </c>
      <c r="I545" s="52">
        <v>1369.2291</v>
      </c>
      <c r="J545" s="52">
        <v>376.08229999999998</v>
      </c>
      <c r="K545" s="52">
        <v>1128.2470000000001</v>
      </c>
      <c r="L545" s="52">
        <v>376.08229999999998</v>
      </c>
      <c r="M545" s="52">
        <v>376.08229999999998</v>
      </c>
      <c r="N545" s="5" t="s">
        <v>69</v>
      </c>
    </row>
    <row r="546" spans="1:14" x14ac:dyDescent="0.25">
      <c r="A546" s="51">
        <v>1.335</v>
      </c>
      <c r="B546" s="52">
        <v>7737.5158000000001</v>
      </c>
      <c r="C546" s="52">
        <v>685.1277</v>
      </c>
      <c r="D546" s="52">
        <v>0</v>
      </c>
      <c r="E546" s="52">
        <v>0</v>
      </c>
      <c r="F546" s="52">
        <v>2055.3832000000002</v>
      </c>
      <c r="G546" s="52">
        <v>685.1277</v>
      </c>
      <c r="H546" s="52">
        <v>685.1277</v>
      </c>
      <c r="I546" s="52">
        <v>1370.2555</v>
      </c>
      <c r="J546" s="52">
        <v>376.08229999999998</v>
      </c>
      <c r="K546" s="52">
        <v>1128.2470000000001</v>
      </c>
      <c r="L546" s="52">
        <v>376.08229999999998</v>
      </c>
      <c r="M546" s="52">
        <v>376.08229999999998</v>
      </c>
      <c r="N546" s="5" t="s">
        <v>69</v>
      </c>
    </row>
    <row r="547" spans="1:14" x14ac:dyDescent="0.25">
      <c r="A547" s="51">
        <v>1.3360000000000001</v>
      </c>
      <c r="B547" s="52">
        <v>7741.6215000000002</v>
      </c>
      <c r="C547" s="52">
        <v>685.64089999999999</v>
      </c>
      <c r="D547" s="52">
        <v>0</v>
      </c>
      <c r="E547" s="52">
        <v>0</v>
      </c>
      <c r="F547" s="52">
        <v>2056.9227999999998</v>
      </c>
      <c r="G547" s="52">
        <v>685.64089999999999</v>
      </c>
      <c r="H547" s="52">
        <v>685.64089999999999</v>
      </c>
      <c r="I547" s="52">
        <v>1371.2819</v>
      </c>
      <c r="J547" s="52">
        <v>376.08229999999998</v>
      </c>
      <c r="K547" s="52">
        <v>1128.2470000000001</v>
      </c>
      <c r="L547" s="52">
        <v>376.08229999999998</v>
      </c>
      <c r="M547" s="52">
        <v>376.08229999999998</v>
      </c>
      <c r="N547" s="5" t="s">
        <v>69</v>
      </c>
    </row>
    <row r="548" spans="1:14" x14ac:dyDescent="0.25">
      <c r="A548" s="51">
        <v>1.337</v>
      </c>
      <c r="B548" s="52">
        <v>7745.7271000000001</v>
      </c>
      <c r="C548" s="52">
        <v>686.15409999999997</v>
      </c>
      <c r="D548" s="52">
        <v>0</v>
      </c>
      <c r="E548" s="52">
        <v>0</v>
      </c>
      <c r="F548" s="52">
        <v>2058.4623999999999</v>
      </c>
      <c r="G548" s="52">
        <v>686.15409999999997</v>
      </c>
      <c r="H548" s="52">
        <v>686.15409999999997</v>
      </c>
      <c r="I548" s="52">
        <v>1372.3082999999999</v>
      </c>
      <c r="J548" s="52">
        <v>376.08229999999998</v>
      </c>
      <c r="K548" s="52">
        <v>1128.2470000000001</v>
      </c>
      <c r="L548" s="52">
        <v>376.08229999999998</v>
      </c>
      <c r="M548" s="52">
        <v>376.08229999999998</v>
      </c>
      <c r="N548" s="5" t="s">
        <v>69</v>
      </c>
    </row>
    <row r="549" spans="1:14" x14ac:dyDescent="0.25">
      <c r="A549" s="51">
        <v>1.3380000000000001</v>
      </c>
      <c r="B549" s="52">
        <v>7749.8326999999999</v>
      </c>
      <c r="C549" s="52">
        <v>686.66729999999995</v>
      </c>
      <c r="D549" s="52">
        <v>0</v>
      </c>
      <c r="E549" s="52">
        <v>0</v>
      </c>
      <c r="F549" s="52">
        <v>2060.002</v>
      </c>
      <c r="G549" s="52">
        <v>686.66729999999995</v>
      </c>
      <c r="H549" s="52">
        <v>686.66729999999995</v>
      </c>
      <c r="I549" s="52">
        <v>1373.3347000000001</v>
      </c>
      <c r="J549" s="52">
        <v>376.08229999999998</v>
      </c>
      <c r="K549" s="52">
        <v>1128.2470000000001</v>
      </c>
      <c r="L549" s="52">
        <v>376.08229999999998</v>
      </c>
      <c r="M549" s="52">
        <v>376.08229999999998</v>
      </c>
      <c r="N549" s="5" t="s">
        <v>69</v>
      </c>
    </row>
    <row r="550" spans="1:14" x14ac:dyDescent="0.25">
      <c r="A550" s="51">
        <v>1.339</v>
      </c>
      <c r="B550" s="52">
        <v>7753.9384</v>
      </c>
      <c r="C550" s="52">
        <v>687.18050000000005</v>
      </c>
      <c r="D550" s="52">
        <v>0</v>
      </c>
      <c r="E550" s="52">
        <v>0</v>
      </c>
      <c r="F550" s="52">
        <v>2061.5416</v>
      </c>
      <c r="G550" s="52">
        <v>687.18050000000005</v>
      </c>
      <c r="H550" s="52">
        <v>687.18050000000005</v>
      </c>
      <c r="I550" s="52">
        <v>1374.3611000000001</v>
      </c>
      <c r="J550" s="52">
        <v>376.08229999999998</v>
      </c>
      <c r="K550" s="52">
        <v>1128.2470000000001</v>
      </c>
      <c r="L550" s="52">
        <v>376.08229999999998</v>
      </c>
      <c r="M550" s="52">
        <v>376.08229999999998</v>
      </c>
      <c r="N550" s="5" t="s">
        <v>69</v>
      </c>
    </row>
    <row r="551" spans="1:14" x14ac:dyDescent="0.25">
      <c r="A551" s="51">
        <v>1.34</v>
      </c>
      <c r="B551" s="52">
        <v>7758.0439999999999</v>
      </c>
      <c r="C551" s="52">
        <v>687.69380000000001</v>
      </c>
      <c r="D551" s="52">
        <v>0</v>
      </c>
      <c r="E551" s="52">
        <v>0</v>
      </c>
      <c r="F551" s="52">
        <v>2063.0812999999998</v>
      </c>
      <c r="G551" s="52">
        <v>687.69380000000001</v>
      </c>
      <c r="H551" s="52">
        <v>687.69380000000001</v>
      </c>
      <c r="I551" s="52">
        <v>1375.3875</v>
      </c>
      <c r="J551" s="52">
        <v>376.08229999999998</v>
      </c>
      <c r="K551" s="52">
        <v>1128.2470000000001</v>
      </c>
      <c r="L551" s="52">
        <v>376.08229999999998</v>
      </c>
      <c r="M551" s="52">
        <v>376.08229999999998</v>
      </c>
      <c r="N551" s="5" t="s">
        <v>69</v>
      </c>
    </row>
    <row r="552" spans="1:14" x14ac:dyDescent="0.25">
      <c r="A552" s="51">
        <v>1.341</v>
      </c>
      <c r="B552" s="52">
        <v>7762.1495999999997</v>
      </c>
      <c r="C552" s="52">
        <v>688.20699999999999</v>
      </c>
      <c r="D552" s="52">
        <v>0</v>
      </c>
      <c r="E552" s="52">
        <v>0</v>
      </c>
      <c r="F552" s="52">
        <v>2064.6208999999999</v>
      </c>
      <c r="G552" s="52">
        <v>688.20699999999999</v>
      </c>
      <c r="H552" s="52">
        <v>688.20699999999999</v>
      </c>
      <c r="I552" s="52">
        <v>1376.4139</v>
      </c>
      <c r="J552" s="52">
        <v>376.08229999999998</v>
      </c>
      <c r="K552" s="52">
        <v>1128.2470000000001</v>
      </c>
      <c r="L552" s="52">
        <v>376.08229999999998</v>
      </c>
      <c r="M552" s="52">
        <v>376.08229999999998</v>
      </c>
      <c r="N552" s="5" t="s">
        <v>69</v>
      </c>
    </row>
    <row r="553" spans="1:14" x14ac:dyDescent="0.25">
      <c r="A553" s="51">
        <v>1.3420000000000001</v>
      </c>
      <c r="B553" s="52">
        <v>7766.2552999999998</v>
      </c>
      <c r="C553" s="52">
        <v>688.72019999999998</v>
      </c>
      <c r="D553" s="52">
        <v>0</v>
      </c>
      <c r="E553" s="52">
        <v>0</v>
      </c>
      <c r="F553" s="52">
        <v>2066.1605</v>
      </c>
      <c r="G553" s="52">
        <v>688.72019999999998</v>
      </c>
      <c r="H553" s="52">
        <v>688.72019999999998</v>
      </c>
      <c r="I553" s="52">
        <v>1377.4403</v>
      </c>
      <c r="J553" s="52">
        <v>376.08229999999998</v>
      </c>
      <c r="K553" s="52">
        <v>1128.2470000000001</v>
      </c>
      <c r="L553" s="52">
        <v>376.08229999999998</v>
      </c>
      <c r="M553" s="52">
        <v>376.08229999999998</v>
      </c>
      <c r="N553" s="5" t="s">
        <v>69</v>
      </c>
    </row>
    <row r="554" spans="1:14" x14ac:dyDescent="0.25">
      <c r="A554" s="51">
        <v>1.343</v>
      </c>
      <c r="B554" s="52">
        <v>7770.3608999999997</v>
      </c>
      <c r="C554" s="52">
        <v>689.23339999999996</v>
      </c>
      <c r="D554" s="52">
        <v>0</v>
      </c>
      <c r="E554" s="52">
        <v>0</v>
      </c>
      <c r="F554" s="52">
        <v>2067.7001</v>
      </c>
      <c r="G554" s="52">
        <v>689.23339999999996</v>
      </c>
      <c r="H554" s="52">
        <v>689.23339999999996</v>
      </c>
      <c r="I554" s="52">
        <v>1378.4666999999999</v>
      </c>
      <c r="J554" s="52">
        <v>376.08229999999998</v>
      </c>
      <c r="K554" s="52">
        <v>1128.2470000000001</v>
      </c>
      <c r="L554" s="52">
        <v>376.08229999999998</v>
      </c>
      <c r="M554" s="52">
        <v>376.08229999999998</v>
      </c>
      <c r="N554" s="5" t="s">
        <v>69</v>
      </c>
    </row>
    <row r="555" spans="1:14" x14ac:dyDescent="0.25">
      <c r="A555" s="51">
        <v>1.3440000000000001</v>
      </c>
      <c r="B555" s="52">
        <v>7774.4665999999997</v>
      </c>
      <c r="C555" s="52">
        <v>689.74659999999994</v>
      </c>
      <c r="D555" s="52">
        <v>0</v>
      </c>
      <c r="E555" s="52">
        <v>0</v>
      </c>
      <c r="F555" s="52">
        <v>2069.2397000000001</v>
      </c>
      <c r="G555" s="52">
        <v>689.74659999999994</v>
      </c>
      <c r="H555" s="52">
        <v>689.74659999999994</v>
      </c>
      <c r="I555" s="52">
        <v>1379.4930999999999</v>
      </c>
      <c r="J555" s="52">
        <v>376.08229999999998</v>
      </c>
      <c r="K555" s="52">
        <v>1128.2470000000001</v>
      </c>
      <c r="L555" s="52">
        <v>376.08229999999998</v>
      </c>
      <c r="M555" s="52">
        <v>376.08229999999998</v>
      </c>
      <c r="N555" s="5" t="s">
        <v>69</v>
      </c>
    </row>
    <row r="556" spans="1:14" x14ac:dyDescent="0.25">
      <c r="A556" s="51">
        <v>1.345</v>
      </c>
      <c r="B556" s="52">
        <v>7778.5721999999996</v>
      </c>
      <c r="C556" s="52">
        <v>690.25980000000004</v>
      </c>
      <c r="D556" s="52">
        <v>0</v>
      </c>
      <c r="E556" s="52">
        <v>0</v>
      </c>
      <c r="F556" s="52">
        <v>2070.7793000000001</v>
      </c>
      <c r="G556" s="52">
        <v>690.25980000000004</v>
      </c>
      <c r="H556" s="52">
        <v>690.25980000000004</v>
      </c>
      <c r="I556" s="52">
        <v>1380.5195000000001</v>
      </c>
      <c r="J556" s="52">
        <v>376.08229999999998</v>
      </c>
      <c r="K556" s="52">
        <v>1128.2470000000001</v>
      </c>
      <c r="L556" s="52">
        <v>376.08229999999998</v>
      </c>
      <c r="M556" s="52">
        <v>376.08229999999998</v>
      </c>
      <c r="N556" s="5" t="s">
        <v>69</v>
      </c>
    </row>
    <row r="557" spans="1:14" x14ac:dyDescent="0.25">
      <c r="A557" s="51">
        <v>1.3460000000000001</v>
      </c>
      <c r="B557" s="52">
        <v>7782.6778000000004</v>
      </c>
      <c r="C557" s="52">
        <v>690.77300000000002</v>
      </c>
      <c r="D557" s="52">
        <v>0</v>
      </c>
      <c r="E557" s="52">
        <v>0</v>
      </c>
      <c r="F557" s="52">
        <v>2072.3189000000002</v>
      </c>
      <c r="G557" s="52">
        <v>690.77300000000002</v>
      </c>
      <c r="H557" s="52">
        <v>690.77300000000002</v>
      </c>
      <c r="I557" s="52">
        <v>1381.546</v>
      </c>
      <c r="J557" s="52">
        <v>376.08229999999998</v>
      </c>
      <c r="K557" s="52">
        <v>1128.2470000000001</v>
      </c>
      <c r="L557" s="52">
        <v>376.08229999999998</v>
      </c>
      <c r="M557" s="52">
        <v>376.08229999999998</v>
      </c>
      <c r="N557" s="5" t="s">
        <v>69</v>
      </c>
    </row>
    <row r="558" spans="1:14" x14ac:dyDescent="0.25">
      <c r="A558" s="51">
        <v>1.347</v>
      </c>
      <c r="B558" s="52">
        <v>7786.7834999999995</v>
      </c>
      <c r="C558" s="52">
        <v>691.28620000000001</v>
      </c>
      <c r="D558" s="52">
        <v>0</v>
      </c>
      <c r="E558" s="52">
        <v>0</v>
      </c>
      <c r="F558" s="52">
        <v>2073.8584999999998</v>
      </c>
      <c r="G558" s="52">
        <v>691.28620000000001</v>
      </c>
      <c r="H558" s="52">
        <v>691.28620000000001</v>
      </c>
      <c r="I558" s="52">
        <v>1382.5724</v>
      </c>
      <c r="J558" s="52">
        <v>376.08229999999998</v>
      </c>
      <c r="K558" s="52">
        <v>1128.2470000000001</v>
      </c>
      <c r="L558" s="52">
        <v>376.08229999999998</v>
      </c>
      <c r="M558" s="52">
        <v>376.08229999999998</v>
      </c>
      <c r="N558" s="5" t="s">
        <v>69</v>
      </c>
    </row>
    <row r="559" spans="1:14" x14ac:dyDescent="0.25">
      <c r="A559" s="51">
        <v>1.3480000000000001</v>
      </c>
      <c r="B559" s="52">
        <v>7790.8891000000003</v>
      </c>
      <c r="C559" s="52">
        <v>691.79939999999999</v>
      </c>
      <c r="D559" s="52">
        <v>0</v>
      </c>
      <c r="E559" s="52">
        <v>0</v>
      </c>
      <c r="F559" s="52">
        <v>2075.3982000000001</v>
      </c>
      <c r="G559" s="52">
        <v>691.79939999999999</v>
      </c>
      <c r="H559" s="52">
        <v>691.79939999999999</v>
      </c>
      <c r="I559" s="52">
        <v>1383.5988</v>
      </c>
      <c r="J559" s="52">
        <v>376.08229999999998</v>
      </c>
      <c r="K559" s="52">
        <v>1128.2470000000001</v>
      </c>
      <c r="L559" s="52">
        <v>376.08229999999998</v>
      </c>
      <c r="M559" s="52">
        <v>376.08229999999998</v>
      </c>
      <c r="N559" s="5" t="s">
        <v>69</v>
      </c>
    </row>
    <row r="560" spans="1:14" x14ac:dyDescent="0.25">
      <c r="A560" s="51">
        <v>1.349</v>
      </c>
      <c r="B560" s="52">
        <v>7794.9947000000002</v>
      </c>
      <c r="C560" s="52">
        <v>692.31259999999997</v>
      </c>
      <c r="D560" s="52">
        <v>0</v>
      </c>
      <c r="E560" s="52">
        <v>0</v>
      </c>
      <c r="F560" s="52">
        <v>2076.9378000000002</v>
      </c>
      <c r="G560" s="52">
        <v>692.31259999999997</v>
      </c>
      <c r="H560" s="52">
        <v>692.31259999999997</v>
      </c>
      <c r="I560" s="52">
        <v>1384.6251999999999</v>
      </c>
      <c r="J560" s="52">
        <v>376.08229999999998</v>
      </c>
      <c r="K560" s="52">
        <v>1128.2470000000001</v>
      </c>
      <c r="L560" s="52">
        <v>376.08229999999998</v>
      </c>
      <c r="M560" s="52">
        <v>376.08229999999998</v>
      </c>
      <c r="N560" s="5" t="s">
        <v>69</v>
      </c>
    </row>
    <row r="561" spans="1:14" x14ac:dyDescent="0.25">
      <c r="A561" s="51">
        <v>1.35</v>
      </c>
      <c r="B561" s="52">
        <v>7799.1004000000003</v>
      </c>
      <c r="C561" s="52">
        <v>692.82579999999996</v>
      </c>
      <c r="D561" s="52">
        <v>0</v>
      </c>
      <c r="E561" s="52">
        <v>0</v>
      </c>
      <c r="F561" s="52">
        <v>2078.4774000000002</v>
      </c>
      <c r="G561" s="52">
        <v>692.82579999999996</v>
      </c>
      <c r="H561" s="52">
        <v>692.82579999999996</v>
      </c>
      <c r="I561" s="52">
        <v>1385.6515999999999</v>
      </c>
      <c r="J561" s="52">
        <v>376.08229999999998</v>
      </c>
      <c r="K561" s="52">
        <v>1128.2470000000001</v>
      </c>
      <c r="L561" s="52">
        <v>376.08229999999998</v>
      </c>
      <c r="M561" s="52">
        <v>376.08229999999998</v>
      </c>
      <c r="N561" s="5" t="s">
        <v>69</v>
      </c>
    </row>
    <row r="562" spans="1:14" x14ac:dyDescent="0.25">
      <c r="A562" s="51">
        <v>1.351</v>
      </c>
      <c r="B562" s="52">
        <v>7803.2060000000001</v>
      </c>
      <c r="C562" s="52">
        <v>693.33900000000006</v>
      </c>
      <c r="D562" s="52">
        <v>0</v>
      </c>
      <c r="E562" s="52">
        <v>0</v>
      </c>
      <c r="F562" s="52">
        <v>2080.0169999999998</v>
      </c>
      <c r="G562" s="52">
        <v>693.33900000000006</v>
      </c>
      <c r="H562" s="52">
        <v>693.33900000000006</v>
      </c>
      <c r="I562" s="52">
        <v>1386.6780000000001</v>
      </c>
      <c r="J562" s="52">
        <v>376.08229999999998</v>
      </c>
      <c r="K562" s="52">
        <v>1128.2470000000001</v>
      </c>
      <c r="L562" s="52">
        <v>376.08229999999998</v>
      </c>
      <c r="M562" s="52">
        <v>376.08229999999998</v>
      </c>
      <c r="N562" s="5" t="s">
        <v>69</v>
      </c>
    </row>
    <row r="563" spans="1:14" x14ac:dyDescent="0.25">
      <c r="A563" s="51">
        <v>1.3520000000000001</v>
      </c>
      <c r="B563" s="52">
        <v>7807.3116</v>
      </c>
      <c r="C563" s="52">
        <v>693.85220000000004</v>
      </c>
      <c r="D563" s="52">
        <v>0</v>
      </c>
      <c r="E563" s="52">
        <v>0</v>
      </c>
      <c r="F563" s="52">
        <v>2081.5565999999999</v>
      </c>
      <c r="G563" s="52">
        <v>693.85220000000004</v>
      </c>
      <c r="H563" s="52">
        <v>693.85220000000004</v>
      </c>
      <c r="I563" s="52">
        <v>1387.7044000000001</v>
      </c>
      <c r="J563" s="52">
        <v>376.08229999999998</v>
      </c>
      <c r="K563" s="52">
        <v>1128.2470000000001</v>
      </c>
      <c r="L563" s="52">
        <v>376.08229999999998</v>
      </c>
      <c r="M563" s="52">
        <v>376.08229999999998</v>
      </c>
      <c r="N563" s="5" t="s">
        <v>69</v>
      </c>
    </row>
    <row r="564" spans="1:14" x14ac:dyDescent="0.25">
      <c r="A564" s="51">
        <v>1.353</v>
      </c>
      <c r="B564" s="52">
        <v>7811.4173000000001</v>
      </c>
      <c r="C564" s="52">
        <v>694.36540000000002</v>
      </c>
      <c r="D564" s="52">
        <v>0</v>
      </c>
      <c r="E564" s="52">
        <v>0</v>
      </c>
      <c r="F564" s="52">
        <v>2083.0962</v>
      </c>
      <c r="G564" s="52">
        <v>694.36540000000002</v>
      </c>
      <c r="H564" s="52">
        <v>694.36540000000002</v>
      </c>
      <c r="I564" s="52">
        <v>1388.7308</v>
      </c>
      <c r="J564" s="52">
        <v>376.08229999999998</v>
      </c>
      <c r="K564" s="52">
        <v>1128.2470000000001</v>
      </c>
      <c r="L564" s="52">
        <v>376.08229999999998</v>
      </c>
      <c r="M564" s="52">
        <v>376.08229999999998</v>
      </c>
      <c r="N564" s="5" t="s">
        <v>69</v>
      </c>
    </row>
    <row r="565" spans="1:14" x14ac:dyDescent="0.25">
      <c r="A565" s="51">
        <v>1.3540000000000001</v>
      </c>
      <c r="B565" s="52">
        <v>7815.5228999999999</v>
      </c>
      <c r="C565" s="52">
        <v>694.87860000000001</v>
      </c>
      <c r="D565" s="52">
        <v>0</v>
      </c>
      <c r="E565" s="52">
        <v>0</v>
      </c>
      <c r="F565" s="52">
        <v>2084.6358</v>
      </c>
      <c r="G565" s="52">
        <v>694.87860000000001</v>
      </c>
      <c r="H565" s="52">
        <v>694.87860000000001</v>
      </c>
      <c r="I565" s="52">
        <v>1389.7572</v>
      </c>
      <c r="J565" s="52">
        <v>376.08229999999998</v>
      </c>
      <c r="K565" s="52">
        <v>1128.2470000000001</v>
      </c>
      <c r="L565" s="52">
        <v>376.08229999999998</v>
      </c>
      <c r="M565" s="52">
        <v>376.08229999999998</v>
      </c>
      <c r="N565" s="5" t="s">
        <v>69</v>
      </c>
    </row>
    <row r="566" spans="1:14" x14ac:dyDescent="0.25">
      <c r="A566" s="51">
        <v>1.355</v>
      </c>
      <c r="B566" s="52">
        <v>7819.6284999999998</v>
      </c>
      <c r="C566" s="52">
        <v>695.39179999999999</v>
      </c>
      <c r="D566" s="52">
        <v>0</v>
      </c>
      <c r="E566" s="52">
        <v>0</v>
      </c>
      <c r="F566" s="52">
        <v>2086.1754999999998</v>
      </c>
      <c r="G566" s="52">
        <v>695.39179999999999</v>
      </c>
      <c r="H566" s="52">
        <v>695.39179999999999</v>
      </c>
      <c r="I566" s="52">
        <v>1390.7836</v>
      </c>
      <c r="J566" s="52">
        <v>376.08229999999998</v>
      </c>
      <c r="K566" s="52">
        <v>1128.2470000000001</v>
      </c>
      <c r="L566" s="52">
        <v>376.08229999999998</v>
      </c>
      <c r="M566" s="52">
        <v>376.08229999999998</v>
      </c>
      <c r="N566" s="5" t="s">
        <v>69</v>
      </c>
    </row>
    <row r="567" spans="1:14" x14ac:dyDescent="0.25">
      <c r="A567" s="51">
        <v>1.3560000000000001</v>
      </c>
      <c r="B567" s="52">
        <v>7823.7341999999999</v>
      </c>
      <c r="C567" s="52">
        <v>695.90499999999997</v>
      </c>
      <c r="D567" s="52">
        <v>0</v>
      </c>
      <c r="E567" s="52">
        <v>0</v>
      </c>
      <c r="F567" s="52">
        <v>2087.7150999999999</v>
      </c>
      <c r="G567" s="52">
        <v>695.90499999999997</v>
      </c>
      <c r="H567" s="52">
        <v>695.90499999999997</v>
      </c>
      <c r="I567" s="52">
        <v>1391.81</v>
      </c>
      <c r="J567" s="52">
        <v>376.08229999999998</v>
      </c>
      <c r="K567" s="52">
        <v>1128.2470000000001</v>
      </c>
      <c r="L567" s="52">
        <v>376.08229999999998</v>
      </c>
      <c r="M567" s="52">
        <v>376.08229999999998</v>
      </c>
      <c r="N567" s="5" t="s">
        <v>69</v>
      </c>
    </row>
    <row r="568" spans="1:14" x14ac:dyDescent="0.25">
      <c r="A568" s="51">
        <v>1.357</v>
      </c>
      <c r="B568" s="52">
        <v>7827.8397999999997</v>
      </c>
      <c r="C568" s="52">
        <v>696.41819999999996</v>
      </c>
      <c r="D568" s="52">
        <v>0</v>
      </c>
      <c r="E568" s="52">
        <v>0</v>
      </c>
      <c r="F568" s="52">
        <v>2089.2547</v>
      </c>
      <c r="G568" s="52">
        <v>696.41819999999996</v>
      </c>
      <c r="H568" s="52">
        <v>696.41819999999996</v>
      </c>
      <c r="I568" s="52">
        <v>1392.8364999999999</v>
      </c>
      <c r="J568" s="52">
        <v>376.08229999999998</v>
      </c>
      <c r="K568" s="52">
        <v>1128.2470000000001</v>
      </c>
      <c r="L568" s="52">
        <v>376.08229999999998</v>
      </c>
      <c r="M568" s="52">
        <v>376.08229999999998</v>
      </c>
      <c r="N568" s="5" t="s">
        <v>69</v>
      </c>
    </row>
    <row r="569" spans="1:14" x14ac:dyDescent="0.25">
      <c r="A569" s="51">
        <v>1.3580000000000001</v>
      </c>
      <c r="B569" s="52">
        <v>7831.9453999999996</v>
      </c>
      <c r="C569" s="52">
        <v>696.93140000000005</v>
      </c>
      <c r="D569" s="52">
        <v>0</v>
      </c>
      <c r="E569" s="52">
        <v>0</v>
      </c>
      <c r="F569" s="52">
        <v>2090.7943</v>
      </c>
      <c r="G569" s="52">
        <v>696.93140000000005</v>
      </c>
      <c r="H569" s="52">
        <v>696.93140000000005</v>
      </c>
      <c r="I569" s="52">
        <v>1393.8629000000001</v>
      </c>
      <c r="J569" s="52">
        <v>376.08229999999998</v>
      </c>
      <c r="K569" s="52">
        <v>1128.2470000000001</v>
      </c>
      <c r="L569" s="52">
        <v>376.08229999999998</v>
      </c>
      <c r="M569" s="52">
        <v>376.08229999999998</v>
      </c>
      <c r="N569" s="5" t="s">
        <v>69</v>
      </c>
    </row>
    <row r="570" spans="1:14" x14ac:dyDescent="0.25">
      <c r="A570" s="51">
        <v>1.359</v>
      </c>
      <c r="B570" s="52">
        <v>7836.0510999999997</v>
      </c>
      <c r="C570" s="52">
        <v>697.44460000000004</v>
      </c>
      <c r="D570" s="52">
        <v>0</v>
      </c>
      <c r="E570" s="52">
        <v>0</v>
      </c>
      <c r="F570" s="52">
        <v>2092.3339000000001</v>
      </c>
      <c r="G570" s="52">
        <v>697.44460000000004</v>
      </c>
      <c r="H570" s="52">
        <v>697.44460000000004</v>
      </c>
      <c r="I570" s="52">
        <v>1394.8893</v>
      </c>
      <c r="J570" s="52">
        <v>376.08229999999998</v>
      </c>
      <c r="K570" s="52">
        <v>1128.2470000000001</v>
      </c>
      <c r="L570" s="52">
        <v>376.08229999999998</v>
      </c>
      <c r="M570" s="52">
        <v>376.08229999999998</v>
      </c>
      <c r="N570" s="5" t="s">
        <v>69</v>
      </c>
    </row>
    <row r="571" spans="1:14" x14ac:dyDescent="0.25">
      <c r="A571" s="51">
        <v>1.36</v>
      </c>
      <c r="B571" s="52">
        <v>7840.1566999999995</v>
      </c>
      <c r="C571" s="52">
        <v>697.95780000000002</v>
      </c>
      <c r="D571" s="52">
        <v>0</v>
      </c>
      <c r="E571" s="52">
        <v>0</v>
      </c>
      <c r="F571" s="52">
        <v>2093.8735000000001</v>
      </c>
      <c r="G571" s="52">
        <v>697.95780000000002</v>
      </c>
      <c r="H571" s="52">
        <v>697.95780000000002</v>
      </c>
      <c r="I571" s="52">
        <v>1395.9157</v>
      </c>
      <c r="J571" s="52">
        <v>376.08229999999998</v>
      </c>
      <c r="K571" s="52">
        <v>1128.2470000000001</v>
      </c>
      <c r="L571" s="52">
        <v>376.08229999999998</v>
      </c>
      <c r="M571" s="52">
        <v>376.08229999999998</v>
      </c>
      <c r="N571" s="5" t="s">
        <v>69</v>
      </c>
    </row>
    <row r="572" spans="1:14" x14ac:dyDescent="0.25">
      <c r="A572" s="51">
        <v>1.361</v>
      </c>
      <c r="B572" s="52">
        <v>7844.2623000000003</v>
      </c>
      <c r="C572" s="52">
        <v>698.471</v>
      </c>
      <c r="D572" s="52">
        <v>0</v>
      </c>
      <c r="E572" s="52">
        <v>0</v>
      </c>
      <c r="F572" s="52">
        <v>2095.4131000000002</v>
      </c>
      <c r="G572" s="52">
        <v>698.471</v>
      </c>
      <c r="H572" s="52">
        <v>698.471</v>
      </c>
      <c r="I572" s="52">
        <v>1396.9421</v>
      </c>
      <c r="J572" s="52">
        <v>376.08229999999998</v>
      </c>
      <c r="K572" s="52">
        <v>1128.2470000000001</v>
      </c>
      <c r="L572" s="52">
        <v>376.08229999999998</v>
      </c>
      <c r="M572" s="52">
        <v>376.08229999999998</v>
      </c>
      <c r="N572" s="5" t="s">
        <v>69</v>
      </c>
    </row>
    <row r="573" spans="1:14" x14ac:dyDescent="0.25">
      <c r="A573" s="51">
        <v>1.3620000000000001</v>
      </c>
      <c r="B573" s="52">
        <v>7848.3680000000004</v>
      </c>
      <c r="C573" s="52">
        <v>698.98419999999999</v>
      </c>
      <c r="D573" s="52">
        <v>0</v>
      </c>
      <c r="E573" s="52">
        <v>0</v>
      </c>
      <c r="F573" s="52">
        <v>2096.9526999999998</v>
      </c>
      <c r="G573" s="52">
        <v>698.98419999999999</v>
      </c>
      <c r="H573" s="52">
        <v>698.98419999999999</v>
      </c>
      <c r="I573" s="52">
        <v>1397.9684999999999</v>
      </c>
      <c r="J573" s="52">
        <v>376.08229999999998</v>
      </c>
      <c r="K573" s="52">
        <v>1128.2470000000001</v>
      </c>
      <c r="L573" s="52">
        <v>376.08229999999998</v>
      </c>
      <c r="M573" s="52">
        <v>376.08229999999998</v>
      </c>
      <c r="N573" s="5" t="s">
        <v>69</v>
      </c>
    </row>
    <row r="574" spans="1:14" x14ac:dyDescent="0.25">
      <c r="A574" s="51">
        <v>1.363</v>
      </c>
      <c r="B574" s="52">
        <v>7852.4736000000003</v>
      </c>
      <c r="C574" s="52">
        <v>699.49749999999995</v>
      </c>
      <c r="D574" s="52">
        <v>0</v>
      </c>
      <c r="E574" s="52">
        <v>0</v>
      </c>
      <c r="F574" s="52">
        <v>2098.4924000000001</v>
      </c>
      <c r="G574" s="52">
        <v>699.49749999999995</v>
      </c>
      <c r="H574" s="52">
        <v>699.49749999999995</v>
      </c>
      <c r="I574" s="52">
        <v>1398.9948999999999</v>
      </c>
      <c r="J574" s="52">
        <v>376.08229999999998</v>
      </c>
      <c r="K574" s="52">
        <v>1128.2470000000001</v>
      </c>
      <c r="L574" s="52">
        <v>376.08229999999998</v>
      </c>
      <c r="M574" s="52">
        <v>376.08229999999998</v>
      </c>
      <c r="N574" s="5" t="s">
        <v>69</v>
      </c>
    </row>
    <row r="575" spans="1:14" x14ac:dyDescent="0.25">
      <c r="A575" s="51">
        <v>1.3640000000000001</v>
      </c>
      <c r="B575" s="52">
        <v>7856.5792000000001</v>
      </c>
      <c r="C575" s="52">
        <v>700.01070000000004</v>
      </c>
      <c r="D575" s="52">
        <v>0</v>
      </c>
      <c r="E575" s="52">
        <v>0</v>
      </c>
      <c r="F575" s="52">
        <v>2100.0320000000002</v>
      </c>
      <c r="G575" s="52">
        <v>700.01070000000004</v>
      </c>
      <c r="H575" s="52">
        <v>700.01070000000004</v>
      </c>
      <c r="I575" s="52">
        <v>1400.0213000000001</v>
      </c>
      <c r="J575" s="52">
        <v>376.08229999999998</v>
      </c>
      <c r="K575" s="52">
        <v>1128.2470000000001</v>
      </c>
      <c r="L575" s="52">
        <v>376.08229999999998</v>
      </c>
      <c r="M575" s="52">
        <v>376.08229999999998</v>
      </c>
      <c r="N575" s="5" t="s">
        <v>69</v>
      </c>
    </row>
    <row r="576" spans="1:14" x14ac:dyDescent="0.25">
      <c r="A576" s="51">
        <v>1.365</v>
      </c>
      <c r="B576" s="52">
        <v>7860.6849000000002</v>
      </c>
      <c r="C576" s="52">
        <v>700.52390000000003</v>
      </c>
      <c r="D576" s="52">
        <v>0</v>
      </c>
      <c r="E576" s="52">
        <v>0</v>
      </c>
      <c r="F576" s="52">
        <v>2101.5716000000002</v>
      </c>
      <c r="G576" s="52">
        <v>700.52390000000003</v>
      </c>
      <c r="H576" s="52">
        <v>700.52390000000003</v>
      </c>
      <c r="I576" s="52">
        <v>1401.0477000000001</v>
      </c>
      <c r="J576" s="52">
        <v>376.08229999999998</v>
      </c>
      <c r="K576" s="52">
        <v>1128.2470000000001</v>
      </c>
      <c r="L576" s="52">
        <v>376.08229999999998</v>
      </c>
      <c r="M576" s="52">
        <v>376.08229999999998</v>
      </c>
      <c r="N576" s="5" t="s">
        <v>69</v>
      </c>
    </row>
    <row r="577" spans="1:14" x14ac:dyDescent="0.25">
      <c r="A577" s="51">
        <v>1.3660000000000001</v>
      </c>
      <c r="B577" s="52">
        <v>7864.7905000000001</v>
      </c>
      <c r="C577" s="52">
        <v>701.03710000000001</v>
      </c>
      <c r="D577" s="52">
        <v>0</v>
      </c>
      <c r="E577" s="52">
        <v>0</v>
      </c>
      <c r="F577" s="52">
        <v>2103.1111999999998</v>
      </c>
      <c r="G577" s="52">
        <v>701.03710000000001</v>
      </c>
      <c r="H577" s="52">
        <v>701.03710000000001</v>
      </c>
      <c r="I577" s="52">
        <v>1402.0741</v>
      </c>
      <c r="J577" s="52">
        <v>376.08229999999998</v>
      </c>
      <c r="K577" s="52">
        <v>1128.2470000000001</v>
      </c>
      <c r="L577" s="52">
        <v>376.08229999999998</v>
      </c>
      <c r="M577" s="52">
        <v>376.08229999999998</v>
      </c>
      <c r="N577" s="5" t="s">
        <v>69</v>
      </c>
    </row>
    <row r="578" spans="1:14" x14ac:dyDescent="0.25">
      <c r="A578" s="51">
        <v>1.367</v>
      </c>
      <c r="B578" s="52">
        <v>7868.8960999999999</v>
      </c>
      <c r="C578" s="52">
        <v>701.55029999999999</v>
      </c>
      <c r="D578" s="52">
        <v>0</v>
      </c>
      <c r="E578" s="52">
        <v>0</v>
      </c>
      <c r="F578" s="52">
        <v>2104.6507999999999</v>
      </c>
      <c r="G578" s="52">
        <v>701.55029999999999</v>
      </c>
      <c r="H578" s="52">
        <v>701.55029999999999</v>
      </c>
      <c r="I578" s="52">
        <v>1403.1005</v>
      </c>
      <c r="J578" s="52">
        <v>376.08229999999998</v>
      </c>
      <c r="K578" s="52">
        <v>1128.2470000000001</v>
      </c>
      <c r="L578" s="52">
        <v>376.08229999999998</v>
      </c>
      <c r="M578" s="52">
        <v>376.08229999999998</v>
      </c>
      <c r="N578" s="5" t="s">
        <v>69</v>
      </c>
    </row>
    <row r="579" spans="1:14" x14ac:dyDescent="0.25">
      <c r="A579" s="51">
        <v>1.3680000000000001</v>
      </c>
      <c r="B579" s="52">
        <v>7873.0018</v>
      </c>
      <c r="C579" s="52">
        <v>702.06349999999998</v>
      </c>
      <c r="D579" s="52">
        <v>0</v>
      </c>
      <c r="E579" s="52">
        <v>0</v>
      </c>
      <c r="F579" s="52">
        <v>2106.1904</v>
      </c>
      <c r="G579" s="52">
        <v>702.06349999999998</v>
      </c>
      <c r="H579" s="52">
        <v>702.06349999999998</v>
      </c>
      <c r="I579" s="52">
        <v>1404.1269</v>
      </c>
      <c r="J579" s="52">
        <v>376.08229999999998</v>
      </c>
      <c r="K579" s="52">
        <v>1128.2470000000001</v>
      </c>
      <c r="L579" s="52">
        <v>376.08229999999998</v>
      </c>
      <c r="M579" s="52">
        <v>376.08229999999998</v>
      </c>
      <c r="N579" s="5" t="s">
        <v>69</v>
      </c>
    </row>
    <row r="580" spans="1:14" x14ac:dyDescent="0.25">
      <c r="A580" s="51">
        <v>1.369</v>
      </c>
      <c r="B580" s="52">
        <v>7877.1073999999999</v>
      </c>
      <c r="C580" s="52">
        <v>702.57669999999996</v>
      </c>
      <c r="D580" s="52">
        <v>0</v>
      </c>
      <c r="E580" s="52">
        <v>0</v>
      </c>
      <c r="F580" s="52">
        <v>2107.73</v>
      </c>
      <c r="G580" s="52">
        <v>702.57669999999996</v>
      </c>
      <c r="H580" s="52">
        <v>702.57669999999996</v>
      </c>
      <c r="I580" s="52">
        <v>1405.1533999999999</v>
      </c>
      <c r="J580" s="52">
        <v>376.08229999999998</v>
      </c>
      <c r="K580" s="52">
        <v>1128.2470000000001</v>
      </c>
      <c r="L580" s="52">
        <v>376.08229999999998</v>
      </c>
      <c r="M580" s="52">
        <v>376.08229999999998</v>
      </c>
      <c r="N580" s="5" t="s">
        <v>69</v>
      </c>
    </row>
    <row r="581" spans="1:14" x14ac:dyDescent="0.25">
      <c r="A581" s="51">
        <v>1.37</v>
      </c>
      <c r="B581" s="52">
        <v>7881.2129999999997</v>
      </c>
      <c r="C581" s="52">
        <v>703.08989999999994</v>
      </c>
      <c r="D581" s="52">
        <v>0</v>
      </c>
      <c r="E581" s="52">
        <v>0</v>
      </c>
      <c r="F581" s="52">
        <v>2109.2696000000001</v>
      </c>
      <c r="G581" s="52">
        <v>703.08989999999994</v>
      </c>
      <c r="H581" s="52">
        <v>703.08989999999994</v>
      </c>
      <c r="I581" s="52">
        <v>1406.1797999999999</v>
      </c>
      <c r="J581" s="52">
        <v>376.08229999999998</v>
      </c>
      <c r="K581" s="52">
        <v>1128.2470000000001</v>
      </c>
      <c r="L581" s="52">
        <v>376.08229999999998</v>
      </c>
      <c r="M581" s="52">
        <v>376.08229999999998</v>
      </c>
      <c r="N581" s="5" t="s">
        <v>69</v>
      </c>
    </row>
    <row r="582" spans="1:14" x14ac:dyDescent="0.25">
      <c r="A582" s="51">
        <v>1.371</v>
      </c>
      <c r="B582" s="52">
        <v>7885.3186999999998</v>
      </c>
      <c r="C582" s="52">
        <v>703.60310000000004</v>
      </c>
      <c r="D582" s="52">
        <v>0</v>
      </c>
      <c r="E582" s="52">
        <v>0</v>
      </c>
      <c r="F582" s="52">
        <v>2110.8092999999999</v>
      </c>
      <c r="G582" s="52">
        <v>703.60310000000004</v>
      </c>
      <c r="H582" s="52">
        <v>703.60310000000004</v>
      </c>
      <c r="I582" s="52">
        <v>1407.2062000000001</v>
      </c>
      <c r="J582" s="52">
        <v>376.08229999999998</v>
      </c>
      <c r="K582" s="52">
        <v>1128.2470000000001</v>
      </c>
      <c r="L582" s="52">
        <v>376.08229999999998</v>
      </c>
      <c r="M582" s="52">
        <v>376.08229999999998</v>
      </c>
      <c r="N582" s="5" t="s">
        <v>69</v>
      </c>
    </row>
    <row r="583" spans="1:14" x14ac:dyDescent="0.25">
      <c r="A583" s="51">
        <v>1.3720000000000001</v>
      </c>
      <c r="B583" s="52">
        <v>7889.4242999999997</v>
      </c>
      <c r="C583" s="52">
        <v>704.11630000000002</v>
      </c>
      <c r="D583" s="52">
        <v>0</v>
      </c>
      <c r="E583" s="52">
        <v>0</v>
      </c>
      <c r="F583" s="52">
        <v>2112.3489</v>
      </c>
      <c r="G583" s="52">
        <v>704.11630000000002</v>
      </c>
      <c r="H583" s="52">
        <v>704.11630000000002</v>
      </c>
      <c r="I583" s="52">
        <v>1408.2326</v>
      </c>
      <c r="J583" s="52">
        <v>376.08229999999998</v>
      </c>
      <c r="K583" s="52">
        <v>1128.2470000000001</v>
      </c>
      <c r="L583" s="52">
        <v>376.08229999999998</v>
      </c>
      <c r="M583" s="52">
        <v>376.08229999999998</v>
      </c>
      <c r="N583" s="5" t="s">
        <v>69</v>
      </c>
    </row>
    <row r="584" spans="1:14" x14ac:dyDescent="0.25">
      <c r="A584" s="51">
        <v>1.373</v>
      </c>
      <c r="B584" s="52">
        <v>7893.5299000000005</v>
      </c>
      <c r="C584" s="52">
        <v>704.62950000000001</v>
      </c>
      <c r="D584" s="52">
        <v>0</v>
      </c>
      <c r="E584" s="52">
        <v>0</v>
      </c>
      <c r="F584" s="52">
        <v>2113.8885</v>
      </c>
      <c r="G584" s="52">
        <v>704.62950000000001</v>
      </c>
      <c r="H584" s="52">
        <v>704.62950000000001</v>
      </c>
      <c r="I584" s="52">
        <v>1409.259</v>
      </c>
      <c r="J584" s="52">
        <v>376.08229999999998</v>
      </c>
      <c r="K584" s="52">
        <v>1128.2470000000001</v>
      </c>
      <c r="L584" s="52">
        <v>376.08229999999998</v>
      </c>
      <c r="M584" s="52">
        <v>376.08229999999998</v>
      </c>
      <c r="N584" s="5" t="s">
        <v>69</v>
      </c>
    </row>
    <row r="585" spans="1:14" x14ac:dyDescent="0.25">
      <c r="A585" s="51">
        <v>1.3740000000000001</v>
      </c>
      <c r="B585" s="52">
        <v>7897.6355999999996</v>
      </c>
      <c r="C585" s="52">
        <v>705.14269999999999</v>
      </c>
      <c r="D585" s="52">
        <v>0</v>
      </c>
      <c r="E585" s="52">
        <v>0</v>
      </c>
      <c r="F585" s="52">
        <v>2115.4281000000001</v>
      </c>
      <c r="G585" s="52">
        <v>705.14269999999999</v>
      </c>
      <c r="H585" s="52">
        <v>705.14269999999999</v>
      </c>
      <c r="I585" s="52">
        <v>1410.2854</v>
      </c>
      <c r="J585" s="52">
        <v>376.08229999999998</v>
      </c>
      <c r="K585" s="52">
        <v>1128.2470000000001</v>
      </c>
      <c r="L585" s="52">
        <v>376.08229999999998</v>
      </c>
      <c r="M585" s="52">
        <v>376.08229999999998</v>
      </c>
      <c r="N585" s="5" t="s">
        <v>69</v>
      </c>
    </row>
    <row r="586" spans="1:14" x14ac:dyDescent="0.25">
      <c r="A586" s="51">
        <v>1.375</v>
      </c>
      <c r="B586" s="52">
        <v>7901.7412000000004</v>
      </c>
      <c r="C586" s="52">
        <v>705.65589999999997</v>
      </c>
      <c r="D586" s="52">
        <v>0</v>
      </c>
      <c r="E586" s="52">
        <v>0</v>
      </c>
      <c r="F586" s="52">
        <v>2116.9677000000001</v>
      </c>
      <c r="G586" s="52">
        <v>705.65589999999997</v>
      </c>
      <c r="H586" s="52">
        <v>705.65589999999997</v>
      </c>
      <c r="I586" s="52">
        <v>1411.3117999999999</v>
      </c>
      <c r="J586" s="52">
        <v>376.08229999999998</v>
      </c>
      <c r="K586" s="52">
        <v>1128.2470000000001</v>
      </c>
      <c r="L586" s="52">
        <v>376.08229999999998</v>
      </c>
      <c r="M586" s="52">
        <v>376.08229999999998</v>
      </c>
      <c r="N586" s="5" t="s">
        <v>69</v>
      </c>
    </row>
    <row r="587" spans="1:14" x14ac:dyDescent="0.25">
      <c r="A587" s="51">
        <v>1.3759999999999999</v>
      </c>
      <c r="B587" s="52">
        <v>7905.8468999999996</v>
      </c>
      <c r="C587" s="52">
        <v>706.16909999999996</v>
      </c>
      <c r="D587" s="52">
        <v>0</v>
      </c>
      <c r="E587" s="52">
        <v>0</v>
      </c>
      <c r="F587" s="52">
        <v>2118.5073000000002</v>
      </c>
      <c r="G587" s="52">
        <v>706.16909999999996</v>
      </c>
      <c r="H587" s="52">
        <v>706.16909999999996</v>
      </c>
      <c r="I587" s="52">
        <v>1412.3381999999999</v>
      </c>
      <c r="J587" s="52">
        <v>376.08229999999998</v>
      </c>
      <c r="K587" s="52">
        <v>1128.2470000000001</v>
      </c>
      <c r="L587" s="52">
        <v>376.08229999999998</v>
      </c>
      <c r="M587" s="52">
        <v>376.08229999999998</v>
      </c>
      <c r="N587" s="5" t="s">
        <v>69</v>
      </c>
    </row>
    <row r="588" spans="1:14" x14ac:dyDescent="0.25">
      <c r="A588" s="51">
        <v>1.377</v>
      </c>
      <c r="B588" s="52">
        <v>7909.9525000000003</v>
      </c>
      <c r="C588" s="52">
        <v>706.68230000000005</v>
      </c>
      <c r="D588" s="52">
        <v>0</v>
      </c>
      <c r="E588" s="52">
        <v>0</v>
      </c>
      <c r="F588" s="52">
        <v>2120.0468999999998</v>
      </c>
      <c r="G588" s="52">
        <v>706.68230000000005</v>
      </c>
      <c r="H588" s="52">
        <v>706.68230000000005</v>
      </c>
      <c r="I588" s="52">
        <v>1413.3646000000001</v>
      </c>
      <c r="J588" s="52">
        <v>376.08229999999998</v>
      </c>
      <c r="K588" s="52">
        <v>1128.2470000000001</v>
      </c>
      <c r="L588" s="52">
        <v>376.08229999999998</v>
      </c>
      <c r="M588" s="52">
        <v>376.08229999999998</v>
      </c>
      <c r="N588" s="5" t="s">
        <v>69</v>
      </c>
    </row>
    <row r="589" spans="1:14" x14ac:dyDescent="0.25">
      <c r="A589" s="51">
        <v>1.3779999999999999</v>
      </c>
      <c r="B589" s="52">
        <v>7914.0581000000002</v>
      </c>
      <c r="C589" s="52">
        <v>707.19550000000004</v>
      </c>
      <c r="D589" s="52">
        <v>0</v>
      </c>
      <c r="E589" s="52">
        <v>0</v>
      </c>
      <c r="F589" s="52">
        <v>2121.5864999999999</v>
      </c>
      <c r="G589" s="52">
        <v>707.19550000000004</v>
      </c>
      <c r="H589" s="52">
        <v>707.19550000000004</v>
      </c>
      <c r="I589" s="52">
        <v>1414.3910000000001</v>
      </c>
      <c r="J589" s="52">
        <v>376.08229999999998</v>
      </c>
      <c r="K589" s="52">
        <v>1128.2470000000001</v>
      </c>
      <c r="L589" s="52">
        <v>376.08229999999998</v>
      </c>
      <c r="M589" s="52">
        <v>376.08229999999998</v>
      </c>
      <c r="N589" s="5" t="s">
        <v>69</v>
      </c>
    </row>
    <row r="590" spans="1:14" x14ac:dyDescent="0.25">
      <c r="A590" s="51">
        <v>1.379</v>
      </c>
      <c r="B590" s="52">
        <v>7918.1638000000003</v>
      </c>
      <c r="C590" s="52">
        <v>707.70870000000002</v>
      </c>
      <c r="D590" s="52">
        <v>0</v>
      </c>
      <c r="E590" s="52">
        <v>0</v>
      </c>
      <c r="F590" s="52">
        <v>2123.1262000000002</v>
      </c>
      <c r="G590" s="52">
        <v>707.70870000000002</v>
      </c>
      <c r="H590" s="52">
        <v>707.70870000000002</v>
      </c>
      <c r="I590" s="52">
        <v>1415.4174</v>
      </c>
      <c r="J590" s="52">
        <v>376.08229999999998</v>
      </c>
      <c r="K590" s="52">
        <v>1128.2470000000001</v>
      </c>
      <c r="L590" s="52">
        <v>376.08229999999998</v>
      </c>
      <c r="M590" s="52">
        <v>376.08229999999998</v>
      </c>
      <c r="N590" s="5" t="s">
        <v>69</v>
      </c>
    </row>
    <row r="591" spans="1:14" x14ac:dyDescent="0.25">
      <c r="A591" s="51">
        <v>1.38</v>
      </c>
      <c r="B591" s="52">
        <v>7922.2694000000001</v>
      </c>
      <c r="C591" s="52">
        <v>708.22190000000001</v>
      </c>
      <c r="D591" s="52">
        <v>0</v>
      </c>
      <c r="E591" s="52">
        <v>0</v>
      </c>
      <c r="F591" s="52">
        <v>2124.6658000000002</v>
      </c>
      <c r="G591" s="52">
        <v>708.22190000000001</v>
      </c>
      <c r="H591" s="52">
        <v>708.22190000000001</v>
      </c>
      <c r="I591" s="52">
        <v>1416.4438</v>
      </c>
      <c r="J591" s="52">
        <v>376.08229999999998</v>
      </c>
      <c r="K591" s="52">
        <v>1128.2470000000001</v>
      </c>
      <c r="L591" s="52">
        <v>376.08229999999998</v>
      </c>
      <c r="M591" s="52">
        <v>376.08229999999998</v>
      </c>
      <c r="N591" s="5" t="s">
        <v>69</v>
      </c>
    </row>
    <row r="592" spans="1:14" x14ac:dyDescent="0.25">
      <c r="A592" s="51">
        <v>1.381</v>
      </c>
      <c r="B592" s="52">
        <v>7926.375</v>
      </c>
      <c r="C592" s="52">
        <v>708.73509999999999</v>
      </c>
      <c r="D592" s="52">
        <v>0</v>
      </c>
      <c r="E592" s="52">
        <v>0</v>
      </c>
      <c r="F592" s="52">
        <v>2126.2053999999998</v>
      </c>
      <c r="G592" s="52">
        <v>708.73509999999999</v>
      </c>
      <c r="H592" s="52">
        <v>708.73509999999999</v>
      </c>
      <c r="I592" s="52">
        <v>1417.4703</v>
      </c>
      <c r="J592" s="52">
        <v>376.08229999999998</v>
      </c>
      <c r="K592" s="52">
        <v>1128.2470000000001</v>
      </c>
      <c r="L592" s="52">
        <v>376.08229999999998</v>
      </c>
      <c r="M592" s="52">
        <v>376.08229999999998</v>
      </c>
      <c r="N592" s="5" t="s">
        <v>69</v>
      </c>
    </row>
    <row r="593" spans="1:14" x14ac:dyDescent="0.25">
      <c r="A593" s="51">
        <v>1.3819999999999999</v>
      </c>
      <c r="B593" s="52">
        <v>7930.4807000000001</v>
      </c>
      <c r="C593" s="52">
        <v>709.24829999999997</v>
      </c>
      <c r="D593" s="52">
        <v>0</v>
      </c>
      <c r="E593" s="52">
        <v>0</v>
      </c>
      <c r="F593" s="52">
        <v>2127.7449999999999</v>
      </c>
      <c r="G593" s="52">
        <v>709.24829999999997</v>
      </c>
      <c r="H593" s="52">
        <v>709.24829999999997</v>
      </c>
      <c r="I593" s="52">
        <v>1418.4966999999999</v>
      </c>
      <c r="J593" s="52">
        <v>376.08229999999998</v>
      </c>
      <c r="K593" s="52">
        <v>1128.2470000000001</v>
      </c>
      <c r="L593" s="52">
        <v>376.08229999999998</v>
      </c>
      <c r="M593" s="52">
        <v>376.08229999999998</v>
      </c>
      <c r="N593" s="5" t="s">
        <v>69</v>
      </c>
    </row>
    <row r="594" spans="1:14" x14ac:dyDescent="0.25">
      <c r="A594" s="51">
        <v>1.383</v>
      </c>
      <c r="B594" s="52">
        <v>7934.5862999999999</v>
      </c>
      <c r="C594" s="52">
        <v>709.76149999999996</v>
      </c>
      <c r="D594" s="52">
        <v>0</v>
      </c>
      <c r="E594" s="52">
        <v>0</v>
      </c>
      <c r="F594" s="52">
        <v>2129.2846</v>
      </c>
      <c r="G594" s="52">
        <v>709.76149999999996</v>
      </c>
      <c r="H594" s="52">
        <v>709.76149999999996</v>
      </c>
      <c r="I594" s="52">
        <v>1419.5231000000001</v>
      </c>
      <c r="J594" s="52">
        <v>376.08229999999998</v>
      </c>
      <c r="K594" s="52">
        <v>1128.2470000000001</v>
      </c>
      <c r="L594" s="52">
        <v>376.08229999999998</v>
      </c>
      <c r="M594" s="52">
        <v>376.08229999999998</v>
      </c>
      <c r="N594" s="5" t="s">
        <v>69</v>
      </c>
    </row>
    <row r="595" spans="1:14" x14ac:dyDescent="0.25">
      <c r="A595" s="51">
        <v>1.3839999999999999</v>
      </c>
      <c r="B595" s="52">
        <v>7938.6918999999998</v>
      </c>
      <c r="C595" s="52">
        <v>710.27470000000005</v>
      </c>
      <c r="D595" s="52">
        <v>0</v>
      </c>
      <c r="E595" s="52">
        <v>0</v>
      </c>
      <c r="F595" s="52">
        <v>2130.8242</v>
      </c>
      <c r="G595" s="52">
        <v>710.27470000000005</v>
      </c>
      <c r="H595" s="52">
        <v>710.27470000000005</v>
      </c>
      <c r="I595" s="52">
        <v>1420.5495000000001</v>
      </c>
      <c r="J595" s="52">
        <v>376.08229999999998</v>
      </c>
      <c r="K595" s="52">
        <v>1128.2470000000001</v>
      </c>
      <c r="L595" s="52">
        <v>376.08229999999998</v>
      </c>
      <c r="M595" s="52">
        <v>376.08229999999998</v>
      </c>
      <c r="N595" s="5" t="s">
        <v>69</v>
      </c>
    </row>
    <row r="596" spans="1:14" x14ac:dyDescent="0.25">
      <c r="A596" s="51">
        <v>1.385</v>
      </c>
      <c r="B596" s="52">
        <v>7942.7975999999999</v>
      </c>
      <c r="C596" s="52">
        <v>710.78790000000004</v>
      </c>
      <c r="D596" s="52">
        <v>0</v>
      </c>
      <c r="E596" s="52">
        <v>0</v>
      </c>
      <c r="F596" s="52">
        <v>2132.3638000000001</v>
      </c>
      <c r="G596" s="52">
        <v>710.78790000000004</v>
      </c>
      <c r="H596" s="52">
        <v>710.78790000000004</v>
      </c>
      <c r="I596" s="52">
        <v>1421.5759</v>
      </c>
      <c r="J596" s="52">
        <v>376.08229999999998</v>
      </c>
      <c r="K596" s="52">
        <v>1128.2470000000001</v>
      </c>
      <c r="L596" s="52">
        <v>376.08229999999998</v>
      </c>
      <c r="M596" s="52">
        <v>376.08229999999998</v>
      </c>
      <c r="N596" s="5" t="s">
        <v>69</v>
      </c>
    </row>
    <row r="597" spans="1:14" x14ac:dyDescent="0.25">
      <c r="A597" s="51">
        <v>1.3859999999999999</v>
      </c>
      <c r="B597" s="52">
        <v>7946.9031999999997</v>
      </c>
      <c r="C597" s="52">
        <v>711.30110000000002</v>
      </c>
      <c r="D597" s="52">
        <v>0</v>
      </c>
      <c r="E597" s="52">
        <v>0</v>
      </c>
      <c r="F597" s="52">
        <v>2133.9034000000001</v>
      </c>
      <c r="G597" s="52">
        <v>711.30110000000002</v>
      </c>
      <c r="H597" s="52">
        <v>711.30110000000002</v>
      </c>
      <c r="I597" s="52">
        <v>1422.6023</v>
      </c>
      <c r="J597" s="52">
        <v>376.08229999999998</v>
      </c>
      <c r="K597" s="52">
        <v>1128.2470000000001</v>
      </c>
      <c r="L597" s="52">
        <v>376.08229999999998</v>
      </c>
      <c r="M597" s="52">
        <v>376.08229999999998</v>
      </c>
      <c r="N597" s="5" t="s">
        <v>69</v>
      </c>
    </row>
    <row r="598" spans="1:14" x14ac:dyDescent="0.25">
      <c r="A598" s="51">
        <v>1.387</v>
      </c>
      <c r="B598" s="52">
        <v>7951.0087999999996</v>
      </c>
      <c r="C598" s="52">
        <v>711.81439999999998</v>
      </c>
      <c r="D598" s="52">
        <v>0</v>
      </c>
      <c r="E598" s="52">
        <v>0</v>
      </c>
      <c r="F598" s="52">
        <v>2135.4431</v>
      </c>
      <c r="G598" s="52">
        <v>711.81439999999998</v>
      </c>
      <c r="H598" s="52">
        <v>711.81439999999998</v>
      </c>
      <c r="I598" s="52">
        <v>1423.6287</v>
      </c>
      <c r="J598" s="52">
        <v>376.08229999999998</v>
      </c>
      <c r="K598" s="52">
        <v>1128.2470000000001</v>
      </c>
      <c r="L598" s="52">
        <v>376.08229999999998</v>
      </c>
      <c r="M598" s="52">
        <v>376.08229999999998</v>
      </c>
      <c r="N598" s="5" t="s">
        <v>69</v>
      </c>
    </row>
    <row r="599" spans="1:14" x14ac:dyDescent="0.25">
      <c r="A599" s="51">
        <v>1.3879999999999999</v>
      </c>
      <c r="B599" s="52">
        <v>7955.1144999999997</v>
      </c>
      <c r="C599" s="52">
        <v>712.32759999999996</v>
      </c>
      <c r="D599" s="52">
        <v>0</v>
      </c>
      <c r="E599" s="52">
        <v>0</v>
      </c>
      <c r="F599" s="52">
        <v>2136.9827</v>
      </c>
      <c r="G599" s="52">
        <v>712.32759999999996</v>
      </c>
      <c r="H599" s="52">
        <v>712.32759999999996</v>
      </c>
      <c r="I599" s="52">
        <v>1424.6550999999999</v>
      </c>
      <c r="J599" s="52">
        <v>376.08229999999998</v>
      </c>
      <c r="K599" s="52">
        <v>1128.2470000000001</v>
      </c>
      <c r="L599" s="52">
        <v>376.08229999999998</v>
      </c>
      <c r="M599" s="52">
        <v>376.08229999999998</v>
      </c>
      <c r="N599" s="5" t="s">
        <v>69</v>
      </c>
    </row>
    <row r="600" spans="1:14" x14ac:dyDescent="0.25">
      <c r="A600" s="51">
        <v>1.389</v>
      </c>
      <c r="B600" s="52">
        <v>7959.2200999999995</v>
      </c>
      <c r="C600" s="52">
        <v>712.84079999999994</v>
      </c>
      <c r="D600" s="52">
        <v>0</v>
      </c>
      <c r="E600" s="52">
        <v>0</v>
      </c>
      <c r="F600" s="52">
        <v>2138.5223000000001</v>
      </c>
      <c r="G600" s="52">
        <v>712.84079999999994</v>
      </c>
      <c r="H600" s="52">
        <v>712.84079999999994</v>
      </c>
      <c r="I600" s="52">
        <v>1425.6814999999999</v>
      </c>
      <c r="J600" s="52">
        <v>376.08229999999998</v>
      </c>
      <c r="K600" s="52">
        <v>1128.2470000000001</v>
      </c>
      <c r="L600" s="52">
        <v>376.08229999999998</v>
      </c>
      <c r="M600" s="52">
        <v>376.08229999999998</v>
      </c>
      <c r="N600" s="5" t="s">
        <v>69</v>
      </c>
    </row>
    <row r="601" spans="1:14" x14ac:dyDescent="0.25">
      <c r="A601" s="51">
        <v>1.39</v>
      </c>
      <c r="B601" s="52">
        <v>7963.3257000000003</v>
      </c>
      <c r="C601" s="52">
        <v>713.35400000000004</v>
      </c>
      <c r="D601" s="52">
        <v>0</v>
      </c>
      <c r="E601" s="52">
        <v>0</v>
      </c>
      <c r="F601" s="52">
        <v>2140.0619000000002</v>
      </c>
      <c r="G601" s="52">
        <v>713.35400000000004</v>
      </c>
      <c r="H601" s="52">
        <v>713.35400000000004</v>
      </c>
      <c r="I601" s="52">
        <v>1426.7079000000001</v>
      </c>
      <c r="J601" s="52">
        <v>376.08229999999998</v>
      </c>
      <c r="K601" s="52">
        <v>1128.2470000000001</v>
      </c>
      <c r="L601" s="52">
        <v>376.08229999999998</v>
      </c>
      <c r="M601" s="52">
        <v>376.08229999999998</v>
      </c>
      <c r="N601" s="5" t="s">
        <v>69</v>
      </c>
    </row>
    <row r="602" spans="1:14" x14ac:dyDescent="0.25">
      <c r="A602" s="51">
        <v>1.391</v>
      </c>
      <c r="B602" s="52">
        <v>7967.4314000000004</v>
      </c>
      <c r="C602" s="52">
        <v>713.86720000000003</v>
      </c>
      <c r="D602" s="52">
        <v>0</v>
      </c>
      <c r="E602" s="52">
        <v>0</v>
      </c>
      <c r="F602" s="52">
        <v>2141.6015000000002</v>
      </c>
      <c r="G602" s="52">
        <v>713.86720000000003</v>
      </c>
      <c r="H602" s="52">
        <v>713.86720000000003</v>
      </c>
      <c r="I602" s="52">
        <v>1427.7343000000001</v>
      </c>
      <c r="J602" s="52">
        <v>376.08229999999998</v>
      </c>
      <c r="K602" s="52">
        <v>1128.2470000000001</v>
      </c>
      <c r="L602" s="52">
        <v>376.08229999999998</v>
      </c>
      <c r="M602" s="52">
        <v>376.08229999999998</v>
      </c>
      <c r="N602" s="5" t="s">
        <v>69</v>
      </c>
    </row>
    <row r="603" spans="1:14" x14ac:dyDescent="0.25">
      <c r="A603" s="51">
        <v>1.3919999999999999</v>
      </c>
      <c r="B603" s="52">
        <v>7971.5370000000003</v>
      </c>
      <c r="C603" s="52">
        <v>714.38040000000001</v>
      </c>
      <c r="D603" s="52">
        <v>0</v>
      </c>
      <c r="E603" s="52">
        <v>0</v>
      </c>
      <c r="F603" s="52">
        <v>2143.1410999999998</v>
      </c>
      <c r="G603" s="52">
        <v>714.38040000000001</v>
      </c>
      <c r="H603" s="52">
        <v>714.38040000000001</v>
      </c>
      <c r="I603" s="52">
        <v>1428.7608</v>
      </c>
      <c r="J603" s="52">
        <v>376.08229999999998</v>
      </c>
      <c r="K603" s="52">
        <v>1128.2470000000001</v>
      </c>
      <c r="L603" s="52">
        <v>376.08229999999998</v>
      </c>
      <c r="M603" s="52">
        <v>376.08229999999998</v>
      </c>
      <c r="N603" s="5" t="s">
        <v>69</v>
      </c>
    </row>
    <row r="604" spans="1:14" x14ac:dyDescent="0.25">
      <c r="A604" s="51">
        <v>1.393</v>
      </c>
      <c r="B604" s="52">
        <v>7975.6426000000001</v>
      </c>
      <c r="C604" s="52">
        <v>714.89359999999999</v>
      </c>
      <c r="D604" s="52">
        <v>0</v>
      </c>
      <c r="E604" s="52">
        <v>0</v>
      </c>
      <c r="F604" s="52">
        <v>2144.6806999999999</v>
      </c>
      <c r="G604" s="52">
        <v>714.89359999999999</v>
      </c>
      <c r="H604" s="52">
        <v>714.89359999999999</v>
      </c>
      <c r="I604" s="52">
        <v>1429.7872</v>
      </c>
      <c r="J604" s="52">
        <v>376.08229999999998</v>
      </c>
      <c r="K604" s="52">
        <v>1128.2470000000001</v>
      </c>
      <c r="L604" s="52">
        <v>376.08229999999998</v>
      </c>
      <c r="M604" s="52">
        <v>376.08229999999998</v>
      </c>
      <c r="N604" s="5" t="s">
        <v>69</v>
      </c>
    </row>
    <row r="605" spans="1:14" x14ac:dyDescent="0.25">
      <c r="A605" s="51">
        <v>1.3939999999999999</v>
      </c>
      <c r="B605" s="52">
        <v>7979.7483000000002</v>
      </c>
      <c r="C605" s="52">
        <v>715.40679999999998</v>
      </c>
      <c r="D605" s="52">
        <v>0</v>
      </c>
      <c r="E605" s="52">
        <v>0</v>
      </c>
      <c r="F605" s="52">
        <v>2146.2204000000002</v>
      </c>
      <c r="G605" s="52">
        <v>715.40679999999998</v>
      </c>
      <c r="H605" s="52">
        <v>715.40679999999998</v>
      </c>
      <c r="I605" s="52">
        <v>1430.8136</v>
      </c>
      <c r="J605" s="52">
        <v>376.08229999999998</v>
      </c>
      <c r="K605" s="52">
        <v>1128.2470000000001</v>
      </c>
      <c r="L605" s="52">
        <v>376.08229999999998</v>
      </c>
      <c r="M605" s="52">
        <v>376.08229999999998</v>
      </c>
      <c r="N605" s="5" t="s">
        <v>69</v>
      </c>
    </row>
    <row r="606" spans="1:14" x14ac:dyDescent="0.25">
      <c r="A606" s="51">
        <v>1.395</v>
      </c>
      <c r="B606" s="52">
        <v>7983.8539000000001</v>
      </c>
      <c r="C606" s="52">
        <v>715.92</v>
      </c>
      <c r="D606" s="52">
        <v>0</v>
      </c>
      <c r="E606" s="52">
        <v>0</v>
      </c>
      <c r="F606" s="52">
        <v>2147.7600000000002</v>
      </c>
      <c r="G606" s="52">
        <v>715.92</v>
      </c>
      <c r="H606" s="52">
        <v>715.92</v>
      </c>
      <c r="I606" s="52">
        <v>1431.84</v>
      </c>
      <c r="J606" s="52">
        <v>376.08229999999998</v>
      </c>
      <c r="K606" s="52">
        <v>1128.2470000000001</v>
      </c>
      <c r="L606" s="52">
        <v>376.08229999999998</v>
      </c>
      <c r="M606" s="52">
        <v>376.08229999999998</v>
      </c>
      <c r="N606" s="5" t="s">
        <v>69</v>
      </c>
    </row>
    <row r="607" spans="1:14" x14ac:dyDescent="0.25">
      <c r="A607" s="51">
        <v>1.3959999999999999</v>
      </c>
      <c r="B607" s="52">
        <v>7987.9594999999999</v>
      </c>
      <c r="C607" s="52">
        <v>716.43320000000006</v>
      </c>
      <c r="D607" s="52">
        <v>0</v>
      </c>
      <c r="E607" s="52">
        <v>0</v>
      </c>
      <c r="F607" s="52">
        <v>2149.2995999999998</v>
      </c>
      <c r="G607" s="52">
        <v>716.43320000000006</v>
      </c>
      <c r="H607" s="52">
        <v>716.43320000000006</v>
      </c>
      <c r="I607" s="52">
        <v>1432.8664000000001</v>
      </c>
      <c r="J607" s="52">
        <v>376.08229999999998</v>
      </c>
      <c r="K607" s="52">
        <v>1128.2470000000001</v>
      </c>
      <c r="L607" s="52">
        <v>376.08229999999998</v>
      </c>
      <c r="M607" s="52">
        <v>376.08229999999998</v>
      </c>
      <c r="N607" s="5" t="s">
        <v>69</v>
      </c>
    </row>
    <row r="608" spans="1:14" x14ac:dyDescent="0.25">
      <c r="A608" s="51">
        <v>1.397</v>
      </c>
      <c r="B608" s="52">
        <v>7992.0652</v>
      </c>
      <c r="C608" s="52">
        <v>716.94640000000004</v>
      </c>
      <c r="D608" s="52">
        <v>0</v>
      </c>
      <c r="E608" s="52">
        <v>0</v>
      </c>
      <c r="F608" s="52">
        <v>2150.8391999999999</v>
      </c>
      <c r="G608" s="52">
        <v>716.94640000000004</v>
      </c>
      <c r="H608" s="52">
        <v>716.94640000000004</v>
      </c>
      <c r="I608" s="52">
        <v>1433.8928000000001</v>
      </c>
      <c r="J608" s="52">
        <v>376.08229999999998</v>
      </c>
      <c r="K608" s="52">
        <v>1128.2470000000001</v>
      </c>
      <c r="L608" s="52">
        <v>376.08229999999998</v>
      </c>
      <c r="M608" s="52">
        <v>376.08229999999998</v>
      </c>
      <c r="N608" s="5" t="s">
        <v>69</v>
      </c>
    </row>
    <row r="609" spans="1:14" x14ac:dyDescent="0.25">
      <c r="A609" s="51">
        <v>1.3979999999999999</v>
      </c>
      <c r="B609" s="52">
        <v>7996.1707999999999</v>
      </c>
      <c r="C609" s="52">
        <v>717.45960000000002</v>
      </c>
      <c r="D609" s="52">
        <v>0</v>
      </c>
      <c r="E609" s="52">
        <v>0</v>
      </c>
      <c r="F609" s="52">
        <v>2152.3788</v>
      </c>
      <c r="G609" s="52">
        <v>717.45960000000002</v>
      </c>
      <c r="H609" s="52">
        <v>717.45960000000002</v>
      </c>
      <c r="I609" s="52">
        <v>1434.9192</v>
      </c>
      <c r="J609" s="52">
        <v>376.08229999999998</v>
      </c>
      <c r="K609" s="52">
        <v>1128.2470000000001</v>
      </c>
      <c r="L609" s="52">
        <v>376.08229999999998</v>
      </c>
      <c r="M609" s="52">
        <v>376.08229999999998</v>
      </c>
      <c r="N609" s="5" t="s">
        <v>69</v>
      </c>
    </row>
    <row r="610" spans="1:14" x14ac:dyDescent="0.25">
      <c r="A610" s="51">
        <v>1.399</v>
      </c>
      <c r="B610" s="52">
        <v>8000.2763999999997</v>
      </c>
      <c r="C610" s="52">
        <v>717.97280000000001</v>
      </c>
      <c r="D610" s="52">
        <v>0</v>
      </c>
      <c r="E610" s="52">
        <v>0</v>
      </c>
      <c r="F610" s="52">
        <v>2153.9184</v>
      </c>
      <c r="G610" s="52">
        <v>717.97280000000001</v>
      </c>
      <c r="H610" s="52">
        <v>717.97280000000001</v>
      </c>
      <c r="I610" s="52">
        <v>1435.9456</v>
      </c>
      <c r="J610" s="52">
        <v>376.08229999999998</v>
      </c>
      <c r="K610" s="52">
        <v>1128.2470000000001</v>
      </c>
      <c r="L610" s="52">
        <v>376.08229999999998</v>
      </c>
      <c r="M610" s="52">
        <v>376.08229999999998</v>
      </c>
      <c r="N610" s="5" t="s">
        <v>69</v>
      </c>
    </row>
    <row r="611" spans="1:14" x14ac:dyDescent="0.25">
      <c r="A611" s="51">
        <v>1.4</v>
      </c>
      <c r="B611" s="52">
        <v>8040.7610999999997</v>
      </c>
      <c r="C611" s="52">
        <v>723.03340000000003</v>
      </c>
      <c r="D611" s="52">
        <v>0</v>
      </c>
      <c r="E611" s="52">
        <v>0</v>
      </c>
      <c r="F611" s="52">
        <v>2169.1001999999999</v>
      </c>
      <c r="G611" s="52">
        <v>723.03340000000003</v>
      </c>
      <c r="H611" s="52">
        <v>723.03340000000003</v>
      </c>
      <c r="I611" s="52">
        <v>1446.0668000000001</v>
      </c>
      <c r="J611" s="52">
        <v>376.08229999999998</v>
      </c>
      <c r="K611" s="52">
        <v>1128.2470000000001</v>
      </c>
      <c r="L611" s="52">
        <v>376.08229999999998</v>
      </c>
      <c r="M611" s="52">
        <v>376.08229999999998</v>
      </c>
      <c r="N611" s="5" t="s">
        <v>69</v>
      </c>
    </row>
    <row r="612" spans="1:14" x14ac:dyDescent="0.25">
      <c r="A612" s="51">
        <v>1.401</v>
      </c>
      <c r="B612" s="52">
        <v>8044.8927000000003</v>
      </c>
      <c r="C612" s="52">
        <v>723.5498</v>
      </c>
      <c r="D612" s="52">
        <v>0</v>
      </c>
      <c r="E612" s="52">
        <v>0</v>
      </c>
      <c r="F612" s="52">
        <v>2170.6495</v>
      </c>
      <c r="G612" s="52">
        <v>723.5498</v>
      </c>
      <c r="H612" s="52">
        <v>723.5498</v>
      </c>
      <c r="I612" s="52">
        <v>1447.0997</v>
      </c>
      <c r="J612" s="52">
        <v>376.08229999999998</v>
      </c>
      <c r="K612" s="52">
        <v>1128.2470000000001</v>
      </c>
      <c r="L612" s="52">
        <v>376.08229999999998</v>
      </c>
      <c r="M612" s="52">
        <v>376.08229999999998</v>
      </c>
      <c r="N612" s="5" t="s">
        <v>69</v>
      </c>
    </row>
    <row r="613" spans="1:14" x14ac:dyDescent="0.25">
      <c r="A613" s="51">
        <v>1.4019999999999999</v>
      </c>
      <c r="B613" s="52">
        <v>8049.0244000000002</v>
      </c>
      <c r="C613" s="52">
        <v>724.06629999999996</v>
      </c>
      <c r="D613" s="52">
        <v>0</v>
      </c>
      <c r="E613" s="52">
        <v>0</v>
      </c>
      <c r="F613" s="52">
        <v>2172.1988999999999</v>
      </c>
      <c r="G613" s="52">
        <v>724.06629999999996</v>
      </c>
      <c r="H613" s="52">
        <v>724.06629999999996</v>
      </c>
      <c r="I613" s="52">
        <v>1448.1325999999999</v>
      </c>
      <c r="J613" s="52">
        <v>376.08229999999998</v>
      </c>
      <c r="K613" s="52">
        <v>1128.2470000000001</v>
      </c>
      <c r="L613" s="52">
        <v>376.08229999999998</v>
      </c>
      <c r="M613" s="52">
        <v>376.08229999999998</v>
      </c>
      <c r="N613" s="5" t="s">
        <v>69</v>
      </c>
    </row>
    <row r="614" spans="1:14" x14ac:dyDescent="0.25">
      <c r="A614" s="51">
        <v>1.403</v>
      </c>
      <c r="B614" s="52">
        <v>8053.1559999999999</v>
      </c>
      <c r="C614" s="52">
        <v>724.58270000000005</v>
      </c>
      <c r="D614" s="52">
        <v>0</v>
      </c>
      <c r="E614" s="52">
        <v>0</v>
      </c>
      <c r="F614" s="52">
        <v>2173.7482</v>
      </c>
      <c r="G614" s="52">
        <v>724.58270000000005</v>
      </c>
      <c r="H614" s="52">
        <v>724.58270000000005</v>
      </c>
      <c r="I614" s="52">
        <v>1449.1655000000001</v>
      </c>
      <c r="J614" s="52">
        <v>376.08229999999998</v>
      </c>
      <c r="K614" s="52">
        <v>1128.2470000000001</v>
      </c>
      <c r="L614" s="52">
        <v>376.08229999999998</v>
      </c>
      <c r="M614" s="52">
        <v>376.08229999999998</v>
      </c>
      <c r="N614" s="5" t="s">
        <v>69</v>
      </c>
    </row>
    <row r="615" spans="1:14" x14ac:dyDescent="0.25">
      <c r="A615" s="51">
        <v>1.4039999999999999</v>
      </c>
      <c r="B615" s="52">
        <v>8057.2875999999997</v>
      </c>
      <c r="C615" s="52">
        <v>725.0992</v>
      </c>
      <c r="D615" s="52">
        <v>0</v>
      </c>
      <c r="E615" s="52">
        <v>0</v>
      </c>
      <c r="F615" s="52">
        <v>2175.2975999999999</v>
      </c>
      <c r="G615" s="52">
        <v>725.0992</v>
      </c>
      <c r="H615" s="52">
        <v>725.0992</v>
      </c>
      <c r="I615" s="52">
        <v>1450.1984</v>
      </c>
      <c r="J615" s="52">
        <v>376.08229999999998</v>
      </c>
      <c r="K615" s="52">
        <v>1128.2470000000001</v>
      </c>
      <c r="L615" s="52">
        <v>376.08229999999998</v>
      </c>
      <c r="M615" s="52">
        <v>376.08229999999998</v>
      </c>
      <c r="N615" s="5" t="s">
        <v>69</v>
      </c>
    </row>
    <row r="616" spans="1:14" x14ac:dyDescent="0.25">
      <c r="A616" s="51">
        <v>1.405</v>
      </c>
      <c r="B616" s="52">
        <v>8061.4192000000003</v>
      </c>
      <c r="C616" s="52">
        <v>725.61569999999995</v>
      </c>
      <c r="D616" s="52">
        <v>0</v>
      </c>
      <c r="E616" s="52">
        <v>0</v>
      </c>
      <c r="F616" s="52">
        <v>2176.8470000000002</v>
      </c>
      <c r="G616" s="52">
        <v>725.61569999999995</v>
      </c>
      <c r="H616" s="52">
        <v>725.61569999999995</v>
      </c>
      <c r="I616" s="52">
        <v>1451.2312999999999</v>
      </c>
      <c r="J616" s="52">
        <v>376.08229999999998</v>
      </c>
      <c r="K616" s="52">
        <v>1128.2470000000001</v>
      </c>
      <c r="L616" s="52">
        <v>376.08229999999998</v>
      </c>
      <c r="M616" s="52">
        <v>376.08229999999998</v>
      </c>
      <c r="N616" s="5" t="s">
        <v>69</v>
      </c>
    </row>
    <row r="617" spans="1:14" x14ac:dyDescent="0.25">
      <c r="A617" s="51">
        <v>1.4059999999999999</v>
      </c>
      <c r="B617" s="52">
        <v>8065.5508</v>
      </c>
      <c r="C617" s="52">
        <v>726.13210000000004</v>
      </c>
      <c r="D617" s="52">
        <v>0</v>
      </c>
      <c r="E617" s="52">
        <v>0</v>
      </c>
      <c r="F617" s="52">
        <v>2178.3962999999999</v>
      </c>
      <c r="G617" s="52">
        <v>726.13210000000004</v>
      </c>
      <c r="H617" s="52">
        <v>726.13210000000004</v>
      </c>
      <c r="I617" s="52">
        <v>1452.2642000000001</v>
      </c>
      <c r="J617" s="52">
        <v>376.08229999999998</v>
      </c>
      <c r="K617" s="52">
        <v>1128.2470000000001</v>
      </c>
      <c r="L617" s="52">
        <v>376.08229999999998</v>
      </c>
      <c r="M617" s="52">
        <v>376.08229999999998</v>
      </c>
      <c r="N617" s="5" t="s">
        <v>69</v>
      </c>
    </row>
    <row r="618" spans="1:14" x14ac:dyDescent="0.25">
      <c r="A618" s="51">
        <v>1.407</v>
      </c>
      <c r="B618" s="52">
        <v>8069.6823999999997</v>
      </c>
      <c r="C618" s="52">
        <v>726.64859999999999</v>
      </c>
      <c r="D618" s="52">
        <v>0</v>
      </c>
      <c r="E618" s="52">
        <v>0</v>
      </c>
      <c r="F618" s="52">
        <v>2179.9457000000002</v>
      </c>
      <c r="G618" s="52">
        <v>726.64859999999999</v>
      </c>
      <c r="H618" s="52">
        <v>726.64859999999999</v>
      </c>
      <c r="I618" s="52">
        <v>1453.2971</v>
      </c>
      <c r="J618" s="52">
        <v>376.08229999999998</v>
      </c>
      <c r="K618" s="52">
        <v>1128.2470000000001</v>
      </c>
      <c r="L618" s="52">
        <v>376.08229999999998</v>
      </c>
      <c r="M618" s="52">
        <v>376.08229999999998</v>
      </c>
      <c r="N618" s="5" t="s">
        <v>69</v>
      </c>
    </row>
    <row r="619" spans="1:14" x14ac:dyDescent="0.25">
      <c r="A619" s="51">
        <v>1.4079999999999999</v>
      </c>
      <c r="B619" s="52">
        <v>8073.8140999999996</v>
      </c>
      <c r="C619" s="52">
        <v>727.16499999999996</v>
      </c>
      <c r="D619" s="52">
        <v>0</v>
      </c>
      <c r="E619" s="52">
        <v>0</v>
      </c>
      <c r="F619" s="52">
        <v>2181.4949999999999</v>
      </c>
      <c r="G619" s="52">
        <v>727.16499999999996</v>
      </c>
      <c r="H619" s="52">
        <v>727.16499999999996</v>
      </c>
      <c r="I619" s="52">
        <v>1454.33</v>
      </c>
      <c r="J619" s="52">
        <v>376.08229999999998</v>
      </c>
      <c r="K619" s="52">
        <v>1128.2470000000001</v>
      </c>
      <c r="L619" s="52">
        <v>376.08229999999998</v>
      </c>
      <c r="M619" s="52">
        <v>376.08229999999998</v>
      </c>
      <c r="N619" s="5" t="s">
        <v>69</v>
      </c>
    </row>
    <row r="620" spans="1:14" x14ac:dyDescent="0.25">
      <c r="A620" s="51">
        <v>1.409</v>
      </c>
      <c r="B620" s="52">
        <v>8077.9457000000002</v>
      </c>
      <c r="C620" s="52">
        <v>727.68150000000003</v>
      </c>
      <c r="D620" s="52">
        <v>0</v>
      </c>
      <c r="E620" s="52">
        <v>0</v>
      </c>
      <c r="F620" s="52">
        <v>2183.0444000000002</v>
      </c>
      <c r="G620" s="52">
        <v>727.68150000000003</v>
      </c>
      <c r="H620" s="52">
        <v>727.68150000000003</v>
      </c>
      <c r="I620" s="52">
        <v>1455.3629000000001</v>
      </c>
      <c r="J620" s="52">
        <v>376.08229999999998</v>
      </c>
      <c r="K620" s="52">
        <v>1128.2470000000001</v>
      </c>
      <c r="L620" s="52">
        <v>376.08229999999998</v>
      </c>
      <c r="M620" s="52">
        <v>376.08229999999998</v>
      </c>
      <c r="N620" s="5" t="s">
        <v>69</v>
      </c>
    </row>
    <row r="621" spans="1:14" x14ac:dyDescent="0.25">
      <c r="A621" s="51">
        <v>1.41</v>
      </c>
      <c r="B621" s="52">
        <v>8082.0772999999999</v>
      </c>
      <c r="C621" s="52">
        <v>728.1979</v>
      </c>
      <c r="D621" s="52">
        <v>0</v>
      </c>
      <c r="E621" s="52">
        <v>0</v>
      </c>
      <c r="F621" s="52">
        <v>2184.5936999999999</v>
      </c>
      <c r="G621" s="52">
        <v>728.1979</v>
      </c>
      <c r="H621" s="52">
        <v>728.1979</v>
      </c>
      <c r="I621" s="52">
        <v>1456.3958</v>
      </c>
      <c r="J621" s="52">
        <v>376.08229999999998</v>
      </c>
      <c r="K621" s="52">
        <v>1128.2470000000001</v>
      </c>
      <c r="L621" s="52">
        <v>376.08229999999998</v>
      </c>
      <c r="M621" s="52">
        <v>376.08229999999998</v>
      </c>
      <c r="N621" s="5" t="s">
        <v>69</v>
      </c>
    </row>
    <row r="622" spans="1:14" x14ac:dyDescent="0.25">
      <c r="A622" s="51">
        <v>1.411</v>
      </c>
      <c r="B622" s="52">
        <v>8086.2088999999996</v>
      </c>
      <c r="C622" s="52">
        <v>728.71439999999996</v>
      </c>
      <c r="D622" s="52">
        <v>0</v>
      </c>
      <c r="E622" s="52">
        <v>0</v>
      </c>
      <c r="F622" s="52">
        <v>2186.1430999999998</v>
      </c>
      <c r="G622" s="52">
        <v>728.71439999999996</v>
      </c>
      <c r="H622" s="52">
        <v>728.71439999999996</v>
      </c>
      <c r="I622" s="52">
        <v>1457.4286999999999</v>
      </c>
      <c r="J622" s="52">
        <v>376.08229999999998</v>
      </c>
      <c r="K622" s="52">
        <v>1128.2470000000001</v>
      </c>
      <c r="L622" s="52">
        <v>376.08229999999998</v>
      </c>
      <c r="M622" s="52">
        <v>376.08229999999998</v>
      </c>
      <c r="N622" s="5" t="s">
        <v>69</v>
      </c>
    </row>
    <row r="623" spans="1:14" x14ac:dyDescent="0.25">
      <c r="A623" s="51">
        <v>1.4119999999999999</v>
      </c>
      <c r="B623" s="52">
        <v>8090.3405000000002</v>
      </c>
      <c r="C623" s="52">
        <v>729.23080000000004</v>
      </c>
      <c r="D623" s="52">
        <v>0</v>
      </c>
      <c r="E623" s="52">
        <v>0</v>
      </c>
      <c r="F623" s="52">
        <v>2187.6925000000001</v>
      </c>
      <c r="G623" s="52">
        <v>729.23080000000004</v>
      </c>
      <c r="H623" s="52">
        <v>729.23080000000004</v>
      </c>
      <c r="I623" s="52">
        <v>1458.4616000000001</v>
      </c>
      <c r="J623" s="52">
        <v>376.08229999999998</v>
      </c>
      <c r="K623" s="52">
        <v>1128.2470000000001</v>
      </c>
      <c r="L623" s="52">
        <v>376.08229999999998</v>
      </c>
      <c r="M623" s="52">
        <v>376.08229999999998</v>
      </c>
      <c r="N623" s="5" t="s">
        <v>69</v>
      </c>
    </row>
    <row r="624" spans="1:14" x14ac:dyDescent="0.25">
      <c r="A624" s="51">
        <v>1.413</v>
      </c>
      <c r="B624" s="52">
        <v>8094.4722000000002</v>
      </c>
      <c r="C624" s="52">
        <v>729.7473</v>
      </c>
      <c r="D624" s="52">
        <v>0</v>
      </c>
      <c r="E624" s="52">
        <v>0</v>
      </c>
      <c r="F624" s="52">
        <v>2189.2417999999998</v>
      </c>
      <c r="G624" s="52">
        <v>729.7473</v>
      </c>
      <c r="H624" s="52">
        <v>729.7473</v>
      </c>
      <c r="I624" s="52">
        <v>1459.4945</v>
      </c>
      <c r="J624" s="52">
        <v>376.08229999999998</v>
      </c>
      <c r="K624" s="52">
        <v>1128.2470000000001</v>
      </c>
      <c r="L624" s="52">
        <v>376.08229999999998</v>
      </c>
      <c r="M624" s="52">
        <v>376.08229999999998</v>
      </c>
      <c r="N624" s="5" t="s">
        <v>69</v>
      </c>
    </row>
    <row r="625" spans="1:14" x14ac:dyDescent="0.25">
      <c r="A625" s="51">
        <v>1.4139999999999999</v>
      </c>
      <c r="B625" s="52">
        <v>8098.6037999999999</v>
      </c>
      <c r="C625" s="52">
        <v>730.26369999999997</v>
      </c>
      <c r="D625" s="52">
        <v>0</v>
      </c>
      <c r="E625" s="52">
        <v>0</v>
      </c>
      <c r="F625" s="52">
        <v>2190.7912000000001</v>
      </c>
      <c r="G625" s="52">
        <v>730.26369999999997</v>
      </c>
      <c r="H625" s="52">
        <v>730.26369999999997</v>
      </c>
      <c r="I625" s="52">
        <v>1460.5273999999999</v>
      </c>
      <c r="J625" s="52">
        <v>376.08229999999998</v>
      </c>
      <c r="K625" s="52">
        <v>1128.2470000000001</v>
      </c>
      <c r="L625" s="52">
        <v>376.08229999999998</v>
      </c>
      <c r="M625" s="52">
        <v>376.08229999999998</v>
      </c>
      <c r="N625" s="5" t="s">
        <v>69</v>
      </c>
    </row>
    <row r="626" spans="1:14" x14ac:dyDescent="0.25">
      <c r="A626" s="51">
        <v>1.415</v>
      </c>
      <c r="B626" s="52">
        <v>8102.7353999999996</v>
      </c>
      <c r="C626" s="52">
        <v>730.78020000000004</v>
      </c>
      <c r="D626" s="52">
        <v>0</v>
      </c>
      <c r="E626" s="52">
        <v>0</v>
      </c>
      <c r="F626" s="52">
        <v>2192.3404999999998</v>
      </c>
      <c r="G626" s="52">
        <v>730.78020000000004</v>
      </c>
      <c r="H626" s="52">
        <v>730.78020000000004</v>
      </c>
      <c r="I626" s="52">
        <v>1461.5604000000001</v>
      </c>
      <c r="J626" s="52">
        <v>376.08229999999998</v>
      </c>
      <c r="K626" s="52">
        <v>1128.2470000000001</v>
      </c>
      <c r="L626" s="52">
        <v>376.08229999999998</v>
      </c>
      <c r="M626" s="52">
        <v>376.08229999999998</v>
      </c>
      <c r="N626" s="5" t="s">
        <v>69</v>
      </c>
    </row>
    <row r="627" spans="1:14" x14ac:dyDescent="0.25">
      <c r="A627" s="51">
        <v>1.4159999999999999</v>
      </c>
      <c r="B627" s="52">
        <v>8106.8670000000002</v>
      </c>
      <c r="C627" s="52">
        <v>731.29660000000001</v>
      </c>
      <c r="D627" s="52">
        <v>0</v>
      </c>
      <c r="E627" s="52">
        <v>0</v>
      </c>
      <c r="F627" s="52">
        <v>2193.8899000000001</v>
      </c>
      <c r="G627" s="52">
        <v>731.29660000000001</v>
      </c>
      <c r="H627" s="52">
        <v>731.29660000000001</v>
      </c>
      <c r="I627" s="52">
        <v>1462.5933</v>
      </c>
      <c r="J627" s="52">
        <v>376.08229999999998</v>
      </c>
      <c r="K627" s="52">
        <v>1128.2470000000001</v>
      </c>
      <c r="L627" s="52">
        <v>376.08229999999998</v>
      </c>
      <c r="M627" s="52">
        <v>376.08229999999998</v>
      </c>
      <c r="N627" s="5" t="s">
        <v>69</v>
      </c>
    </row>
    <row r="628" spans="1:14" x14ac:dyDescent="0.25">
      <c r="A628" s="51">
        <v>1.417</v>
      </c>
      <c r="B628" s="52">
        <v>8110.9985999999999</v>
      </c>
      <c r="C628" s="52">
        <v>731.81309999999996</v>
      </c>
      <c r="D628" s="52">
        <v>0</v>
      </c>
      <c r="E628" s="52">
        <v>0</v>
      </c>
      <c r="F628" s="52">
        <v>2195.4391999999998</v>
      </c>
      <c r="G628" s="52">
        <v>731.81309999999996</v>
      </c>
      <c r="H628" s="52">
        <v>731.81309999999996</v>
      </c>
      <c r="I628" s="52">
        <v>1463.6261999999999</v>
      </c>
      <c r="J628" s="52">
        <v>376.08229999999998</v>
      </c>
      <c r="K628" s="52">
        <v>1128.2470000000001</v>
      </c>
      <c r="L628" s="52">
        <v>376.08229999999998</v>
      </c>
      <c r="M628" s="52">
        <v>376.08229999999998</v>
      </c>
      <c r="N628" s="5" t="s">
        <v>69</v>
      </c>
    </row>
    <row r="629" spans="1:14" x14ac:dyDescent="0.25">
      <c r="A629" s="51">
        <v>1.4179999999999999</v>
      </c>
      <c r="B629" s="52">
        <v>8115.1302999999998</v>
      </c>
      <c r="C629" s="52">
        <v>732.32950000000005</v>
      </c>
      <c r="D629" s="52">
        <v>0</v>
      </c>
      <c r="E629" s="52">
        <v>0</v>
      </c>
      <c r="F629" s="52">
        <v>2196.9886000000001</v>
      </c>
      <c r="G629" s="52">
        <v>732.32950000000005</v>
      </c>
      <c r="H629" s="52">
        <v>732.32950000000005</v>
      </c>
      <c r="I629" s="52">
        <v>1464.6591000000001</v>
      </c>
      <c r="J629" s="52">
        <v>376.08229999999998</v>
      </c>
      <c r="K629" s="52">
        <v>1128.2470000000001</v>
      </c>
      <c r="L629" s="52">
        <v>376.08229999999998</v>
      </c>
      <c r="M629" s="52">
        <v>376.08229999999998</v>
      </c>
      <c r="N629" s="5" t="s">
        <v>69</v>
      </c>
    </row>
    <row r="630" spans="1:14" x14ac:dyDescent="0.25">
      <c r="A630" s="51">
        <v>1.419</v>
      </c>
      <c r="B630" s="52">
        <v>8119.2619000000004</v>
      </c>
      <c r="C630" s="52">
        <v>732.846</v>
      </c>
      <c r="D630" s="52">
        <v>0</v>
      </c>
      <c r="E630" s="52">
        <v>0</v>
      </c>
      <c r="F630" s="52">
        <v>2198.538</v>
      </c>
      <c r="G630" s="52">
        <v>732.846</v>
      </c>
      <c r="H630" s="52">
        <v>732.846</v>
      </c>
      <c r="I630" s="52">
        <v>1465.692</v>
      </c>
      <c r="J630" s="52">
        <v>376.08229999999998</v>
      </c>
      <c r="K630" s="52">
        <v>1128.2470000000001</v>
      </c>
      <c r="L630" s="52">
        <v>376.08229999999998</v>
      </c>
      <c r="M630" s="52">
        <v>376.08229999999998</v>
      </c>
      <c r="N630" s="5" t="s">
        <v>69</v>
      </c>
    </row>
    <row r="631" spans="1:14" x14ac:dyDescent="0.25">
      <c r="A631" s="51">
        <v>1.42</v>
      </c>
      <c r="B631" s="52">
        <v>8123.3935000000001</v>
      </c>
      <c r="C631" s="52">
        <v>733.36239999999998</v>
      </c>
      <c r="D631" s="52">
        <v>0</v>
      </c>
      <c r="E631" s="52">
        <v>0</v>
      </c>
      <c r="F631" s="52">
        <v>2200.0873000000001</v>
      </c>
      <c r="G631" s="52">
        <v>733.36239999999998</v>
      </c>
      <c r="H631" s="52">
        <v>733.36239999999998</v>
      </c>
      <c r="I631" s="52">
        <v>1466.7248999999999</v>
      </c>
      <c r="J631" s="52">
        <v>376.08229999999998</v>
      </c>
      <c r="K631" s="52">
        <v>1128.2470000000001</v>
      </c>
      <c r="L631" s="52">
        <v>376.08229999999998</v>
      </c>
      <c r="M631" s="52">
        <v>376.08229999999998</v>
      </c>
      <c r="N631" s="5" t="s">
        <v>69</v>
      </c>
    </row>
    <row r="632" spans="1:14" x14ac:dyDescent="0.25">
      <c r="A632" s="51">
        <v>1.421</v>
      </c>
      <c r="B632" s="52">
        <v>8127.5250999999998</v>
      </c>
      <c r="C632" s="52">
        <v>733.87890000000004</v>
      </c>
      <c r="D632" s="52">
        <v>0</v>
      </c>
      <c r="E632" s="52">
        <v>0</v>
      </c>
      <c r="F632" s="52">
        <v>2201.6367</v>
      </c>
      <c r="G632" s="52">
        <v>733.87890000000004</v>
      </c>
      <c r="H632" s="52">
        <v>733.87890000000004</v>
      </c>
      <c r="I632" s="52">
        <v>1467.7578000000001</v>
      </c>
      <c r="J632" s="52">
        <v>376.08229999999998</v>
      </c>
      <c r="K632" s="52">
        <v>1128.2470000000001</v>
      </c>
      <c r="L632" s="52">
        <v>376.08229999999998</v>
      </c>
      <c r="M632" s="52">
        <v>376.08229999999998</v>
      </c>
      <c r="N632" s="5" t="s">
        <v>69</v>
      </c>
    </row>
    <row r="633" spans="1:14" x14ac:dyDescent="0.25">
      <c r="A633" s="51">
        <v>1.4219999999999999</v>
      </c>
      <c r="B633" s="52">
        <v>8131.6566999999995</v>
      </c>
      <c r="C633" s="52">
        <v>734.39530000000002</v>
      </c>
      <c r="D633" s="52">
        <v>0</v>
      </c>
      <c r="E633" s="52">
        <v>0</v>
      </c>
      <c r="F633" s="52">
        <v>2203.1860000000001</v>
      </c>
      <c r="G633" s="52">
        <v>734.39530000000002</v>
      </c>
      <c r="H633" s="52">
        <v>734.39530000000002</v>
      </c>
      <c r="I633" s="52">
        <v>1468.7907</v>
      </c>
      <c r="J633" s="52">
        <v>376.08229999999998</v>
      </c>
      <c r="K633" s="52">
        <v>1128.2470000000001</v>
      </c>
      <c r="L633" s="52">
        <v>376.08229999999998</v>
      </c>
      <c r="M633" s="52">
        <v>376.08229999999998</v>
      </c>
      <c r="N633" s="5" t="s">
        <v>69</v>
      </c>
    </row>
    <row r="634" spans="1:14" x14ac:dyDescent="0.25">
      <c r="A634" s="51">
        <v>1.423</v>
      </c>
      <c r="B634" s="52">
        <v>8135.7884000000004</v>
      </c>
      <c r="C634" s="52">
        <v>734.91179999999997</v>
      </c>
      <c r="D634" s="52">
        <v>0</v>
      </c>
      <c r="E634" s="52">
        <v>0</v>
      </c>
      <c r="F634" s="52">
        <v>2204.7354</v>
      </c>
      <c r="G634" s="52">
        <v>734.91179999999997</v>
      </c>
      <c r="H634" s="52">
        <v>734.91179999999997</v>
      </c>
      <c r="I634" s="52">
        <v>1469.8235999999999</v>
      </c>
      <c r="J634" s="52">
        <v>376.08229999999998</v>
      </c>
      <c r="K634" s="52">
        <v>1128.2470000000001</v>
      </c>
      <c r="L634" s="52">
        <v>376.08229999999998</v>
      </c>
      <c r="M634" s="52">
        <v>376.08229999999998</v>
      </c>
      <c r="N634" s="5" t="s">
        <v>69</v>
      </c>
    </row>
    <row r="635" spans="1:14" x14ac:dyDescent="0.25">
      <c r="A635" s="51">
        <v>1.4239999999999999</v>
      </c>
      <c r="B635" s="52">
        <v>8139.92</v>
      </c>
      <c r="C635" s="52">
        <v>735.42819999999995</v>
      </c>
      <c r="D635" s="52">
        <v>0</v>
      </c>
      <c r="E635" s="52">
        <v>0</v>
      </c>
      <c r="F635" s="52">
        <v>2206.2847000000002</v>
      </c>
      <c r="G635" s="52">
        <v>735.42819999999995</v>
      </c>
      <c r="H635" s="52">
        <v>735.42819999999995</v>
      </c>
      <c r="I635" s="52">
        <v>1470.8565000000001</v>
      </c>
      <c r="J635" s="52">
        <v>376.08229999999998</v>
      </c>
      <c r="K635" s="52">
        <v>1128.2470000000001</v>
      </c>
      <c r="L635" s="52">
        <v>376.08229999999998</v>
      </c>
      <c r="M635" s="52">
        <v>376.08229999999998</v>
      </c>
      <c r="N635" s="5" t="s">
        <v>69</v>
      </c>
    </row>
    <row r="636" spans="1:14" x14ac:dyDescent="0.25">
      <c r="A636" s="51">
        <v>1.425</v>
      </c>
      <c r="B636" s="52">
        <v>8144.0515999999998</v>
      </c>
      <c r="C636" s="52">
        <v>735.94470000000001</v>
      </c>
      <c r="D636" s="52">
        <v>0</v>
      </c>
      <c r="E636" s="52">
        <v>0</v>
      </c>
      <c r="F636" s="52">
        <v>2207.8341</v>
      </c>
      <c r="G636" s="52">
        <v>735.94470000000001</v>
      </c>
      <c r="H636" s="52">
        <v>735.94470000000001</v>
      </c>
      <c r="I636" s="52">
        <v>1471.8894</v>
      </c>
      <c r="J636" s="52">
        <v>376.08229999999998</v>
      </c>
      <c r="K636" s="52">
        <v>1128.2470000000001</v>
      </c>
      <c r="L636" s="52">
        <v>376.08229999999998</v>
      </c>
      <c r="M636" s="52">
        <v>376.08229999999998</v>
      </c>
      <c r="N636" s="5" t="s">
        <v>69</v>
      </c>
    </row>
    <row r="637" spans="1:14" x14ac:dyDescent="0.25">
      <c r="A637" s="51">
        <v>1.4259999999999999</v>
      </c>
      <c r="B637" s="52">
        <v>8148.1832000000004</v>
      </c>
      <c r="C637" s="52">
        <v>736.46119999999996</v>
      </c>
      <c r="D637" s="52">
        <v>0</v>
      </c>
      <c r="E637" s="52">
        <v>0</v>
      </c>
      <c r="F637" s="52">
        <v>2209.3834999999999</v>
      </c>
      <c r="G637" s="52">
        <v>736.46119999999996</v>
      </c>
      <c r="H637" s="52">
        <v>736.46119999999996</v>
      </c>
      <c r="I637" s="52">
        <v>1472.9223</v>
      </c>
      <c r="J637" s="52">
        <v>376.08229999999998</v>
      </c>
      <c r="K637" s="52">
        <v>1128.2470000000001</v>
      </c>
      <c r="L637" s="52">
        <v>376.08229999999998</v>
      </c>
      <c r="M637" s="52">
        <v>376.08229999999998</v>
      </c>
      <c r="N637" s="5" t="s">
        <v>69</v>
      </c>
    </row>
    <row r="638" spans="1:14" x14ac:dyDescent="0.25">
      <c r="A638" s="51">
        <v>1.427</v>
      </c>
      <c r="B638" s="52">
        <v>8152.3148000000001</v>
      </c>
      <c r="C638" s="52">
        <v>736.97760000000005</v>
      </c>
      <c r="D638" s="52">
        <v>0</v>
      </c>
      <c r="E638" s="52">
        <v>0</v>
      </c>
      <c r="F638" s="52">
        <v>2210.9328</v>
      </c>
      <c r="G638" s="52">
        <v>736.97760000000005</v>
      </c>
      <c r="H638" s="52">
        <v>736.97760000000005</v>
      </c>
      <c r="I638" s="52">
        <v>1473.9552000000001</v>
      </c>
      <c r="J638" s="52">
        <v>376.08229999999998</v>
      </c>
      <c r="K638" s="52">
        <v>1128.2470000000001</v>
      </c>
      <c r="L638" s="52">
        <v>376.08229999999998</v>
      </c>
      <c r="M638" s="52">
        <v>376.08229999999998</v>
      </c>
      <c r="N638" s="5" t="s">
        <v>69</v>
      </c>
    </row>
    <row r="639" spans="1:14" x14ac:dyDescent="0.25">
      <c r="A639" s="51">
        <v>1.4279999999999999</v>
      </c>
      <c r="B639" s="52">
        <v>8156.4465</v>
      </c>
      <c r="C639" s="52">
        <v>737.4941</v>
      </c>
      <c r="D639" s="52">
        <v>0</v>
      </c>
      <c r="E639" s="52">
        <v>0</v>
      </c>
      <c r="F639" s="52">
        <v>2212.4821999999999</v>
      </c>
      <c r="G639" s="52">
        <v>737.4941</v>
      </c>
      <c r="H639" s="52">
        <v>737.4941</v>
      </c>
      <c r="I639" s="52">
        <v>1474.9881</v>
      </c>
      <c r="J639" s="52">
        <v>376.08229999999998</v>
      </c>
      <c r="K639" s="52">
        <v>1128.2470000000001</v>
      </c>
      <c r="L639" s="52">
        <v>376.08229999999998</v>
      </c>
      <c r="M639" s="52">
        <v>376.08229999999998</v>
      </c>
      <c r="N639" s="5" t="s">
        <v>69</v>
      </c>
    </row>
    <row r="640" spans="1:14" x14ac:dyDescent="0.25">
      <c r="A640" s="51">
        <v>1.429</v>
      </c>
      <c r="B640" s="52">
        <v>8160.5780999999997</v>
      </c>
      <c r="C640" s="52">
        <v>738.01049999999998</v>
      </c>
      <c r="D640" s="52">
        <v>0</v>
      </c>
      <c r="E640" s="52">
        <v>0</v>
      </c>
      <c r="F640" s="52">
        <v>2214.0315000000001</v>
      </c>
      <c r="G640" s="52">
        <v>738.01049999999998</v>
      </c>
      <c r="H640" s="52">
        <v>738.01049999999998</v>
      </c>
      <c r="I640" s="52">
        <v>1476.021</v>
      </c>
      <c r="J640" s="52">
        <v>376.08229999999998</v>
      </c>
      <c r="K640" s="52">
        <v>1128.2470000000001</v>
      </c>
      <c r="L640" s="52">
        <v>376.08229999999998</v>
      </c>
      <c r="M640" s="52">
        <v>376.08229999999998</v>
      </c>
      <c r="N640" s="5" t="s">
        <v>69</v>
      </c>
    </row>
    <row r="641" spans="1:14" x14ac:dyDescent="0.25">
      <c r="A641" s="51">
        <v>1.43</v>
      </c>
      <c r="B641" s="52">
        <v>8164.7097000000003</v>
      </c>
      <c r="C641" s="52">
        <v>738.52700000000004</v>
      </c>
      <c r="D641" s="52">
        <v>0</v>
      </c>
      <c r="E641" s="52">
        <v>0</v>
      </c>
      <c r="F641" s="52">
        <v>2215.5808999999999</v>
      </c>
      <c r="G641" s="52">
        <v>738.52700000000004</v>
      </c>
      <c r="H641" s="52">
        <v>738.52700000000004</v>
      </c>
      <c r="I641" s="52">
        <v>1477.0539000000001</v>
      </c>
      <c r="J641" s="52">
        <v>376.08229999999998</v>
      </c>
      <c r="K641" s="52">
        <v>1128.2470000000001</v>
      </c>
      <c r="L641" s="52">
        <v>376.08229999999998</v>
      </c>
      <c r="M641" s="52">
        <v>376.08229999999998</v>
      </c>
      <c r="N641" s="5" t="s">
        <v>69</v>
      </c>
    </row>
    <row r="642" spans="1:14" x14ac:dyDescent="0.25">
      <c r="A642" s="51">
        <v>1.431</v>
      </c>
      <c r="B642" s="52">
        <v>8168.8413</v>
      </c>
      <c r="C642" s="52">
        <v>739.04340000000002</v>
      </c>
      <c r="D642" s="52">
        <v>0</v>
      </c>
      <c r="E642" s="52">
        <v>0</v>
      </c>
      <c r="F642" s="52">
        <v>2217.1302000000001</v>
      </c>
      <c r="G642" s="52">
        <v>739.04340000000002</v>
      </c>
      <c r="H642" s="52">
        <v>739.04340000000002</v>
      </c>
      <c r="I642" s="52">
        <v>1478.0868</v>
      </c>
      <c r="J642" s="52">
        <v>376.08229999999998</v>
      </c>
      <c r="K642" s="52">
        <v>1128.2470000000001</v>
      </c>
      <c r="L642" s="52">
        <v>376.08229999999998</v>
      </c>
      <c r="M642" s="52">
        <v>376.08229999999998</v>
      </c>
      <c r="N642" s="5" t="s">
        <v>69</v>
      </c>
    </row>
    <row r="643" spans="1:14" x14ac:dyDescent="0.25">
      <c r="A643" s="51">
        <v>1.4319999999999999</v>
      </c>
      <c r="B643" s="52">
        <v>8172.9728999999998</v>
      </c>
      <c r="C643" s="52">
        <v>739.55989999999997</v>
      </c>
      <c r="D643" s="52">
        <v>0</v>
      </c>
      <c r="E643" s="52">
        <v>0</v>
      </c>
      <c r="F643" s="52">
        <v>2218.6795999999999</v>
      </c>
      <c r="G643" s="52">
        <v>739.55989999999997</v>
      </c>
      <c r="H643" s="52">
        <v>739.55989999999997</v>
      </c>
      <c r="I643" s="52">
        <v>1479.1197</v>
      </c>
      <c r="J643" s="52">
        <v>376.08229999999998</v>
      </c>
      <c r="K643" s="52">
        <v>1128.2470000000001</v>
      </c>
      <c r="L643" s="52">
        <v>376.08229999999998</v>
      </c>
      <c r="M643" s="52">
        <v>376.08229999999998</v>
      </c>
      <c r="N643" s="5" t="s">
        <v>69</v>
      </c>
    </row>
    <row r="644" spans="1:14" x14ac:dyDescent="0.25">
      <c r="A644" s="51">
        <v>1.4330000000000001</v>
      </c>
      <c r="B644" s="52">
        <v>8177.1045999999997</v>
      </c>
      <c r="C644" s="52">
        <v>740.07629999999995</v>
      </c>
      <c r="D644" s="52">
        <v>0</v>
      </c>
      <c r="E644" s="52">
        <v>0</v>
      </c>
      <c r="F644" s="52">
        <v>2220.2289999999998</v>
      </c>
      <c r="G644" s="52">
        <v>740.07629999999995</v>
      </c>
      <c r="H644" s="52">
        <v>740.07629999999995</v>
      </c>
      <c r="I644" s="52">
        <v>1480.1525999999999</v>
      </c>
      <c r="J644" s="52">
        <v>376.08229999999998</v>
      </c>
      <c r="K644" s="52">
        <v>1128.2470000000001</v>
      </c>
      <c r="L644" s="52">
        <v>376.08229999999998</v>
      </c>
      <c r="M644" s="52">
        <v>376.08229999999998</v>
      </c>
      <c r="N644" s="5" t="s">
        <v>69</v>
      </c>
    </row>
    <row r="645" spans="1:14" x14ac:dyDescent="0.25">
      <c r="A645" s="51">
        <v>1.4339999999999999</v>
      </c>
      <c r="B645" s="52">
        <v>8181.2362000000003</v>
      </c>
      <c r="C645" s="52">
        <v>740.59280000000001</v>
      </c>
      <c r="D645" s="52">
        <v>0</v>
      </c>
      <c r="E645" s="52">
        <v>0</v>
      </c>
      <c r="F645" s="52">
        <v>2221.7782999999999</v>
      </c>
      <c r="G645" s="52">
        <v>740.59280000000001</v>
      </c>
      <c r="H645" s="52">
        <v>740.59280000000001</v>
      </c>
      <c r="I645" s="52">
        <v>1481.1855</v>
      </c>
      <c r="J645" s="52">
        <v>376.08229999999998</v>
      </c>
      <c r="K645" s="52">
        <v>1128.2470000000001</v>
      </c>
      <c r="L645" s="52">
        <v>376.08229999999998</v>
      </c>
      <c r="M645" s="52">
        <v>376.08229999999998</v>
      </c>
      <c r="N645" s="5" t="s">
        <v>69</v>
      </c>
    </row>
    <row r="646" spans="1:14" x14ac:dyDescent="0.25">
      <c r="A646" s="51">
        <v>1.4350000000000001</v>
      </c>
      <c r="B646" s="52">
        <v>8185.3678</v>
      </c>
      <c r="C646" s="52">
        <v>741.10919999999999</v>
      </c>
      <c r="D646" s="52">
        <v>0</v>
      </c>
      <c r="E646" s="52">
        <v>0</v>
      </c>
      <c r="F646" s="52">
        <v>2223.3276999999998</v>
      </c>
      <c r="G646" s="52">
        <v>741.10919999999999</v>
      </c>
      <c r="H646" s="52">
        <v>741.10919999999999</v>
      </c>
      <c r="I646" s="52">
        <v>1482.2184</v>
      </c>
      <c r="J646" s="52">
        <v>376.08229999999998</v>
      </c>
      <c r="K646" s="52">
        <v>1128.2470000000001</v>
      </c>
      <c r="L646" s="52">
        <v>376.08229999999998</v>
      </c>
      <c r="M646" s="52">
        <v>376.08229999999998</v>
      </c>
      <c r="N646" s="5" t="s">
        <v>69</v>
      </c>
    </row>
    <row r="647" spans="1:14" x14ac:dyDescent="0.25">
      <c r="A647" s="51">
        <v>1.4359999999999999</v>
      </c>
      <c r="B647" s="52">
        <v>8189.4993999999997</v>
      </c>
      <c r="C647" s="52">
        <v>741.62570000000005</v>
      </c>
      <c r="D647" s="52">
        <v>0</v>
      </c>
      <c r="E647" s="52">
        <v>0</v>
      </c>
      <c r="F647" s="52">
        <v>2224.877</v>
      </c>
      <c r="G647" s="52">
        <v>741.62570000000005</v>
      </c>
      <c r="H647" s="52">
        <v>741.62570000000005</v>
      </c>
      <c r="I647" s="52">
        <v>1483.2514000000001</v>
      </c>
      <c r="J647" s="52">
        <v>376.08229999999998</v>
      </c>
      <c r="K647" s="52">
        <v>1128.2470000000001</v>
      </c>
      <c r="L647" s="52">
        <v>376.08229999999998</v>
      </c>
      <c r="M647" s="52">
        <v>376.08229999999998</v>
      </c>
      <c r="N647" s="5" t="s">
        <v>69</v>
      </c>
    </row>
    <row r="648" spans="1:14" x14ac:dyDescent="0.25">
      <c r="A648" s="51">
        <v>1.4370000000000001</v>
      </c>
      <c r="B648" s="52">
        <v>8193.6309999999994</v>
      </c>
      <c r="C648" s="52">
        <v>742.14210000000003</v>
      </c>
      <c r="D648" s="52">
        <v>0</v>
      </c>
      <c r="E648" s="52">
        <v>0</v>
      </c>
      <c r="F648" s="52">
        <v>2226.4263999999998</v>
      </c>
      <c r="G648" s="52">
        <v>742.14210000000003</v>
      </c>
      <c r="H648" s="52">
        <v>742.14210000000003</v>
      </c>
      <c r="I648" s="52">
        <v>1484.2843</v>
      </c>
      <c r="J648" s="52">
        <v>376.08229999999998</v>
      </c>
      <c r="K648" s="52">
        <v>1128.2470000000001</v>
      </c>
      <c r="L648" s="52">
        <v>376.08229999999998</v>
      </c>
      <c r="M648" s="52">
        <v>376.08229999999998</v>
      </c>
      <c r="N648" s="5" t="s">
        <v>69</v>
      </c>
    </row>
    <row r="649" spans="1:14" x14ac:dyDescent="0.25">
      <c r="A649" s="51">
        <v>1.4379999999999999</v>
      </c>
      <c r="B649" s="52">
        <v>8197.7626</v>
      </c>
      <c r="C649" s="52">
        <v>742.65859999999998</v>
      </c>
      <c r="D649" s="52">
        <v>0</v>
      </c>
      <c r="E649" s="52">
        <v>0</v>
      </c>
      <c r="F649" s="52">
        <v>2227.9757</v>
      </c>
      <c r="G649" s="52">
        <v>742.65859999999998</v>
      </c>
      <c r="H649" s="52">
        <v>742.65859999999998</v>
      </c>
      <c r="I649" s="52">
        <v>1485.3172</v>
      </c>
      <c r="J649" s="52">
        <v>376.08229999999998</v>
      </c>
      <c r="K649" s="52">
        <v>1128.2470000000001</v>
      </c>
      <c r="L649" s="52">
        <v>376.08229999999998</v>
      </c>
      <c r="M649" s="52">
        <v>376.08229999999998</v>
      </c>
      <c r="N649" s="5" t="s">
        <v>69</v>
      </c>
    </row>
    <row r="650" spans="1:14" x14ac:dyDescent="0.25">
      <c r="A650" s="51">
        <v>1.4390000000000001</v>
      </c>
      <c r="B650" s="52">
        <v>8201.8942999999999</v>
      </c>
      <c r="C650" s="52">
        <v>743.17499999999995</v>
      </c>
      <c r="D650" s="52">
        <v>0</v>
      </c>
      <c r="E650" s="52">
        <v>0</v>
      </c>
      <c r="F650" s="52">
        <v>2229.5250999999998</v>
      </c>
      <c r="G650" s="52">
        <v>743.17499999999995</v>
      </c>
      <c r="H650" s="52">
        <v>743.17499999999995</v>
      </c>
      <c r="I650" s="52">
        <v>1486.3501000000001</v>
      </c>
      <c r="J650" s="52">
        <v>376.08229999999998</v>
      </c>
      <c r="K650" s="52">
        <v>1128.2470000000001</v>
      </c>
      <c r="L650" s="52">
        <v>376.08229999999998</v>
      </c>
      <c r="M650" s="52">
        <v>376.08229999999998</v>
      </c>
      <c r="N650" s="5" t="s">
        <v>69</v>
      </c>
    </row>
    <row r="651" spans="1:14" x14ac:dyDescent="0.25">
      <c r="A651" s="51">
        <v>1.44</v>
      </c>
      <c r="B651" s="52">
        <v>8206.0259000000005</v>
      </c>
      <c r="C651" s="52">
        <v>743.69150000000002</v>
      </c>
      <c r="D651" s="52">
        <v>0</v>
      </c>
      <c r="E651" s="52">
        <v>0</v>
      </c>
      <c r="F651" s="52">
        <v>2231.0745000000002</v>
      </c>
      <c r="G651" s="52">
        <v>743.69150000000002</v>
      </c>
      <c r="H651" s="52">
        <v>743.69150000000002</v>
      </c>
      <c r="I651" s="52">
        <v>1487.383</v>
      </c>
      <c r="J651" s="52">
        <v>376.08229999999998</v>
      </c>
      <c r="K651" s="52">
        <v>1128.2470000000001</v>
      </c>
      <c r="L651" s="52">
        <v>376.08229999999998</v>
      </c>
      <c r="M651" s="52">
        <v>376.08229999999998</v>
      </c>
      <c r="N651" s="5" t="s">
        <v>69</v>
      </c>
    </row>
    <row r="652" spans="1:14" x14ac:dyDescent="0.25">
      <c r="A652" s="51">
        <v>1.4410000000000001</v>
      </c>
      <c r="B652" s="52">
        <v>8210.1574999999993</v>
      </c>
      <c r="C652" s="52">
        <v>744.2079</v>
      </c>
      <c r="D652" s="52">
        <v>0</v>
      </c>
      <c r="E652" s="52">
        <v>0</v>
      </c>
      <c r="F652" s="52">
        <v>2232.6237999999998</v>
      </c>
      <c r="G652" s="52">
        <v>744.2079</v>
      </c>
      <c r="H652" s="52">
        <v>744.2079</v>
      </c>
      <c r="I652" s="52">
        <v>1488.4159</v>
      </c>
      <c r="J652" s="52">
        <v>376.08229999999998</v>
      </c>
      <c r="K652" s="52">
        <v>1128.2470000000001</v>
      </c>
      <c r="L652" s="52">
        <v>376.08229999999998</v>
      </c>
      <c r="M652" s="52">
        <v>376.08229999999998</v>
      </c>
      <c r="N652" s="5" t="s">
        <v>69</v>
      </c>
    </row>
    <row r="653" spans="1:14" x14ac:dyDescent="0.25">
      <c r="A653" s="51">
        <v>1.4419999999999999</v>
      </c>
      <c r="B653" s="52">
        <v>8214.2891</v>
      </c>
      <c r="C653" s="52">
        <v>744.72439999999995</v>
      </c>
      <c r="D653" s="52">
        <v>0</v>
      </c>
      <c r="E653" s="52">
        <v>0</v>
      </c>
      <c r="F653" s="52">
        <v>2234.1732000000002</v>
      </c>
      <c r="G653" s="52">
        <v>744.72439999999995</v>
      </c>
      <c r="H653" s="52">
        <v>744.72439999999995</v>
      </c>
      <c r="I653" s="52">
        <v>1489.4487999999999</v>
      </c>
      <c r="J653" s="52">
        <v>376.08229999999998</v>
      </c>
      <c r="K653" s="52">
        <v>1128.2470000000001</v>
      </c>
      <c r="L653" s="52">
        <v>376.08229999999998</v>
      </c>
      <c r="M653" s="52">
        <v>376.08229999999998</v>
      </c>
      <c r="N653" s="5" t="s">
        <v>69</v>
      </c>
    </row>
    <row r="654" spans="1:14" x14ac:dyDescent="0.25">
      <c r="A654" s="51">
        <v>1.4430000000000001</v>
      </c>
      <c r="B654" s="52">
        <v>8218.4207000000006</v>
      </c>
      <c r="C654" s="52">
        <v>745.24080000000004</v>
      </c>
      <c r="D654" s="52">
        <v>0</v>
      </c>
      <c r="E654" s="52">
        <v>0</v>
      </c>
      <c r="F654" s="52">
        <v>2235.7224999999999</v>
      </c>
      <c r="G654" s="52">
        <v>745.24080000000004</v>
      </c>
      <c r="H654" s="52">
        <v>745.24080000000004</v>
      </c>
      <c r="I654" s="52">
        <v>1490.4817</v>
      </c>
      <c r="J654" s="52">
        <v>376.08229999999998</v>
      </c>
      <c r="K654" s="52">
        <v>1128.2470000000001</v>
      </c>
      <c r="L654" s="52">
        <v>376.08229999999998</v>
      </c>
      <c r="M654" s="52">
        <v>376.08229999999998</v>
      </c>
      <c r="N654" s="5" t="s">
        <v>69</v>
      </c>
    </row>
    <row r="655" spans="1:14" x14ac:dyDescent="0.25">
      <c r="A655" s="51">
        <v>1.444</v>
      </c>
      <c r="B655" s="52">
        <v>8222.5524000000005</v>
      </c>
      <c r="C655" s="52">
        <v>745.75729999999999</v>
      </c>
      <c r="D655" s="52">
        <v>0</v>
      </c>
      <c r="E655" s="52">
        <v>0</v>
      </c>
      <c r="F655" s="52">
        <v>2237.2719000000002</v>
      </c>
      <c r="G655" s="52">
        <v>745.75729999999999</v>
      </c>
      <c r="H655" s="52">
        <v>745.75729999999999</v>
      </c>
      <c r="I655" s="52">
        <v>1491.5146</v>
      </c>
      <c r="J655" s="52">
        <v>376.08229999999998</v>
      </c>
      <c r="K655" s="52">
        <v>1128.2470000000001</v>
      </c>
      <c r="L655" s="52">
        <v>376.08229999999998</v>
      </c>
      <c r="M655" s="52">
        <v>376.08229999999998</v>
      </c>
      <c r="N655" s="5" t="s">
        <v>69</v>
      </c>
    </row>
    <row r="656" spans="1:14" x14ac:dyDescent="0.25">
      <c r="A656" s="51">
        <v>1.4450000000000001</v>
      </c>
      <c r="B656" s="52">
        <v>8226.6839999999993</v>
      </c>
      <c r="C656" s="52">
        <v>746.27369999999996</v>
      </c>
      <c r="D656" s="52">
        <v>0</v>
      </c>
      <c r="E656" s="52">
        <v>0</v>
      </c>
      <c r="F656" s="52">
        <v>2238.8211999999999</v>
      </c>
      <c r="G656" s="52">
        <v>746.27369999999996</v>
      </c>
      <c r="H656" s="52">
        <v>746.27369999999996</v>
      </c>
      <c r="I656" s="52">
        <v>1492.5474999999999</v>
      </c>
      <c r="J656" s="52">
        <v>376.08229999999998</v>
      </c>
      <c r="K656" s="52">
        <v>1128.2470000000001</v>
      </c>
      <c r="L656" s="52">
        <v>376.08229999999998</v>
      </c>
      <c r="M656" s="52">
        <v>376.08229999999998</v>
      </c>
      <c r="N656" s="5" t="s">
        <v>69</v>
      </c>
    </row>
    <row r="657" spans="1:14" x14ac:dyDescent="0.25">
      <c r="A657" s="51">
        <v>1.446</v>
      </c>
      <c r="B657" s="52">
        <v>8230.8155999999999</v>
      </c>
      <c r="C657" s="52">
        <v>746.79020000000003</v>
      </c>
      <c r="D657" s="52">
        <v>0</v>
      </c>
      <c r="E657" s="52">
        <v>0</v>
      </c>
      <c r="F657" s="52">
        <v>2240.3706000000002</v>
      </c>
      <c r="G657" s="52">
        <v>746.79020000000003</v>
      </c>
      <c r="H657" s="52">
        <v>746.79020000000003</v>
      </c>
      <c r="I657" s="52">
        <v>1493.5804000000001</v>
      </c>
      <c r="J657" s="52">
        <v>376.08229999999998</v>
      </c>
      <c r="K657" s="52">
        <v>1128.2470000000001</v>
      </c>
      <c r="L657" s="52">
        <v>376.08229999999998</v>
      </c>
      <c r="M657" s="52">
        <v>376.08229999999998</v>
      </c>
      <c r="N657" s="5" t="s">
        <v>69</v>
      </c>
    </row>
    <row r="658" spans="1:14" x14ac:dyDescent="0.25">
      <c r="A658" s="51">
        <v>1.4470000000000001</v>
      </c>
      <c r="B658" s="52">
        <v>8234.9472000000005</v>
      </c>
      <c r="C658" s="52">
        <v>747.30669999999998</v>
      </c>
      <c r="D658" s="52">
        <v>0</v>
      </c>
      <c r="E658" s="52">
        <v>0</v>
      </c>
      <c r="F658" s="52">
        <v>2241.92</v>
      </c>
      <c r="G658" s="52">
        <v>747.30669999999998</v>
      </c>
      <c r="H658" s="52">
        <v>747.30669999999998</v>
      </c>
      <c r="I658" s="52">
        <v>1494.6133</v>
      </c>
      <c r="J658" s="52">
        <v>376.08229999999998</v>
      </c>
      <c r="K658" s="52">
        <v>1128.2470000000001</v>
      </c>
      <c r="L658" s="52">
        <v>376.08229999999998</v>
      </c>
      <c r="M658" s="52">
        <v>376.08229999999998</v>
      </c>
      <c r="N658" s="5" t="s">
        <v>69</v>
      </c>
    </row>
    <row r="659" spans="1:14" x14ac:dyDescent="0.25">
      <c r="A659" s="51">
        <v>1.448</v>
      </c>
      <c r="B659" s="52">
        <v>8239.0787999999993</v>
      </c>
      <c r="C659" s="52">
        <v>747.82309999999995</v>
      </c>
      <c r="D659" s="52">
        <v>0</v>
      </c>
      <c r="E659" s="52">
        <v>0</v>
      </c>
      <c r="F659" s="52">
        <v>2243.4693000000002</v>
      </c>
      <c r="G659" s="52">
        <v>747.82309999999995</v>
      </c>
      <c r="H659" s="52">
        <v>747.82309999999995</v>
      </c>
      <c r="I659" s="52">
        <v>1495.6461999999999</v>
      </c>
      <c r="J659" s="52">
        <v>376.08229999999998</v>
      </c>
      <c r="K659" s="52">
        <v>1128.2470000000001</v>
      </c>
      <c r="L659" s="52">
        <v>376.08229999999998</v>
      </c>
      <c r="M659" s="52">
        <v>376.08229999999998</v>
      </c>
      <c r="N659" s="5" t="s">
        <v>69</v>
      </c>
    </row>
    <row r="660" spans="1:14" x14ac:dyDescent="0.25">
      <c r="A660" s="51">
        <v>1.4490000000000001</v>
      </c>
      <c r="B660" s="52">
        <v>8243.2104999999992</v>
      </c>
      <c r="C660" s="52">
        <v>748.33960000000002</v>
      </c>
      <c r="D660" s="52">
        <v>0</v>
      </c>
      <c r="E660" s="52">
        <v>0</v>
      </c>
      <c r="F660" s="52">
        <v>2245.0187000000001</v>
      </c>
      <c r="G660" s="52">
        <v>748.33960000000002</v>
      </c>
      <c r="H660" s="52">
        <v>748.33960000000002</v>
      </c>
      <c r="I660" s="52">
        <v>1496.6791000000001</v>
      </c>
      <c r="J660" s="52">
        <v>376.08229999999998</v>
      </c>
      <c r="K660" s="52">
        <v>1128.2470000000001</v>
      </c>
      <c r="L660" s="52">
        <v>376.08229999999998</v>
      </c>
      <c r="M660" s="52">
        <v>376.08229999999998</v>
      </c>
      <c r="N660" s="5" t="s">
        <v>69</v>
      </c>
    </row>
    <row r="661" spans="1:14" x14ac:dyDescent="0.25">
      <c r="A661" s="51">
        <v>1.45</v>
      </c>
      <c r="B661" s="52">
        <v>8247.3420999999998</v>
      </c>
      <c r="C661" s="52">
        <v>748.85599999999999</v>
      </c>
      <c r="D661" s="52">
        <v>0</v>
      </c>
      <c r="E661" s="52">
        <v>0</v>
      </c>
      <c r="F661" s="52">
        <v>2246.5680000000002</v>
      </c>
      <c r="G661" s="52">
        <v>748.85599999999999</v>
      </c>
      <c r="H661" s="52">
        <v>748.85599999999999</v>
      </c>
      <c r="I661" s="52">
        <v>1497.712</v>
      </c>
      <c r="J661" s="52">
        <v>376.08229999999998</v>
      </c>
      <c r="K661" s="52">
        <v>1128.2470000000001</v>
      </c>
      <c r="L661" s="52">
        <v>376.08229999999998</v>
      </c>
      <c r="M661" s="52">
        <v>376.08229999999998</v>
      </c>
      <c r="N661" s="5" t="s">
        <v>69</v>
      </c>
    </row>
    <row r="662" spans="1:14" x14ac:dyDescent="0.25">
      <c r="A662" s="51">
        <v>1.4510000000000001</v>
      </c>
      <c r="B662" s="52">
        <v>8251.4737000000005</v>
      </c>
      <c r="C662" s="52">
        <v>749.37249999999995</v>
      </c>
      <c r="D662" s="52">
        <v>0</v>
      </c>
      <c r="E662" s="52">
        <v>0</v>
      </c>
      <c r="F662" s="52">
        <v>2248.1174000000001</v>
      </c>
      <c r="G662" s="52">
        <v>749.37249999999995</v>
      </c>
      <c r="H662" s="52">
        <v>749.37249999999995</v>
      </c>
      <c r="I662" s="52">
        <v>1498.7448999999999</v>
      </c>
      <c r="J662" s="52">
        <v>376.08229999999998</v>
      </c>
      <c r="K662" s="52">
        <v>1128.2470000000001</v>
      </c>
      <c r="L662" s="52">
        <v>376.08229999999998</v>
      </c>
      <c r="M662" s="52">
        <v>376.08229999999998</v>
      </c>
      <c r="N662" s="5" t="s">
        <v>69</v>
      </c>
    </row>
    <row r="663" spans="1:14" x14ac:dyDescent="0.25">
      <c r="A663" s="51">
        <v>1.452</v>
      </c>
      <c r="B663" s="52">
        <v>8255.6052999999993</v>
      </c>
      <c r="C663" s="52">
        <v>749.88890000000004</v>
      </c>
      <c r="D663" s="52">
        <v>0</v>
      </c>
      <c r="E663" s="52">
        <v>0</v>
      </c>
      <c r="F663" s="52">
        <v>2249.6667000000002</v>
      </c>
      <c r="G663" s="52">
        <v>749.88890000000004</v>
      </c>
      <c r="H663" s="52">
        <v>749.88890000000004</v>
      </c>
      <c r="I663" s="52">
        <v>1499.7778000000001</v>
      </c>
      <c r="J663" s="52">
        <v>376.08229999999998</v>
      </c>
      <c r="K663" s="52">
        <v>1128.2470000000001</v>
      </c>
      <c r="L663" s="52">
        <v>376.08229999999998</v>
      </c>
      <c r="M663" s="52">
        <v>376.08229999999998</v>
      </c>
      <c r="N663" s="5" t="s">
        <v>69</v>
      </c>
    </row>
    <row r="664" spans="1:14" x14ac:dyDescent="0.25">
      <c r="A664" s="51">
        <v>1.4530000000000001</v>
      </c>
      <c r="B664" s="52">
        <v>8259.7368999999999</v>
      </c>
      <c r="C664" s="52">
        <v>750.40539999999999</v>
      </c>
      <c r="D664" s="52">
        <v>0</v>
      </c>
      <c r="E664" s="52">
        <v>0</v>
      </c>
      <c r="F664" s="52">
        <v>2251.2161000000001</v>
      </c>
      <c r="G664" s="52">
        <v>750.40539999999999</v>
      </c>
      <c r="H664" s="52">
        <v>750.40539999999999</v>
      </c>
      <c r="I664" s="52">
        <v>1500.8107</v>
      </c>
      <c r="J664" s="52">
        <v>376.08229999999998</v>
      </c>
      <c r="K664" s="52">
        <v>1128.2470000000001</v>
      </c>
      <c r="L664" s="52">
        <v>376.08229999999998</v>
      </c>
      <c r="M664" s="52">
        <v>376.08229999999998</v>
      </c>
      <c r="N664" s="5" t="s">
        <v>69</v>
      </c>
    </row>
    <row r="665" spans="1:14" x14ac:dyDescent="0.25">
      <c r="A665" s="51">
        <v>1.454</v>
      </c>
      <c r="B665" s="52">
        <v>8263.8685999999998</v>
      </c>
      <c r="C665" s="52">
        <v>750.92179999999996</v>
      </c>
      <c r="D665" s="52">
        <v>0</v>
      </c>
      <c r="E665" s="52">
        <v>0</v>
      </c>
      <c r="F665" s="52">
        <v>2252.7655</v>
      </c>
      <c r="G665" s="52">
        <v>750.92179999999996</v>
      </c>
      <c r="H665" s="52">
        <v>750.92179999999996</v>
      </c>
      <c r="I665" s="52">
        <v>1501.8435999999999</v>
      </c>
      <c r="J665" s="52">
        <v>376.08229999999998</v>
      </c>
      <c r="K665" s="52">
        <v>1128.2470000000001</v>
      </c>
      <c r="L665" s="52">
        <v>376.08229999999998</v>
      </c>
      <c r="M665" s="52">
        <v>376.08229999999998</v>
      </c>
      <c r="N665" s="5" t="s">
        <v>69</v>
      </c>
    </row>
    <row r="666" spans="1:14" x14ac:dyDescent="0.25">
      <c r="A666" s="51">
        <v>1.4550000000000001</v>
      </c>
      <c r="B666" s="52">
        <v>8268.0002000000004</v>
      </c>
      <c r="C666" s="52">
        <v>751.43830000000003</v>
      </c>
      <c r="D666" s="52">
        <v>0</v>
      </c>
      <c r="E666" s="52">
        <v>0</v>
      </c>
      <c r="F666" s="52">
        <v>2254.3148000000001</v>
      </c>
      <c r="G666" s="52">
        <v>751.43830000000003</v>
      </c>
      <c r="H666" s="52">
        <v>751.43830000000003</v>
      </c>
      <c r="I666" s="52">
        <v>1502.8765000000001</v>
      </c>
      <c r="J666" s="52">
        <v>376.08229999999998</v>
      </c>
      <c r="K666" s="52">
        <v>1128.2470000000001</v>
      </c>
      <c r="L666" s="52">
        <v>376.08229999999998</v>
      </c>
      <c r="M666" s="52">
        <v>376.08229999999998</v>
      </c>
      <c r="N666" s="5" t="s">
        <v>69</v>
      </c>
    </row>
    <row r="667" spans="1:14" x14ac:dyDescent="0.25">
      <c r="A667" s="51">
        <v>1.456</v>
      </c>
      <c r="B667" s="52">
        <v>8272.1317999999992</v>
      </c>
      <c r="C667" s="52">
        <v>751.9547</v>
      </c>
      <c r="D667" s="52">
        <v>0</v>
      </c>
      <c r="E667" s="52">
        <v>0</v>
      </c>
      <c r="F667" s="52">
        <v>2255.8642</v>
      </c>
      <c r="G667" s="52">
        <v>751.9547</v>
      </c>
      <c r="H667" s="52">
        <v>751.9547</v>
      </c>
      <c r="I667" s="52">
        <v>1503.9095</v>
      </c>
      <c r="J667" s="52">
        <v>376.08229999999998</v>
      </c>
      <c r="K667" s="52">
        <v>1128.2470000000001</v>
      </c>
      <c r="L667" s="52">
        <v>376.08229999999998</v>
      </c>
      <c r="M667" s="52">
        <v>376.08229999999998</v>
      </c>
      <c r="N667" s="5" t="s">
        <v>69</v>
      </c>
    </row>
    <row r="668" spans="1:14" x14ac:dyDescent="0.25">
      <c r="A668" s="51">
        <v>1.4570000000000001</v>
      </c>
      <c r="B668" s="52">
        <v>8276.2633999999998</v>
      </c>
      <c r="C668" s="52">
        <v>752.47119999999995</v>
      </c>
      <c r="D668" s="52">
        <v>0</v>
      </c>
      <c r="E668" s="52">
        <v>0</v>
      </c>
      <c r="F668" s="52">
        <v>2257.4135000000001</v>
      </c>
      <c r="G668" s="52">
        <v>752.47119999999995</v>
      </c>
      <c r="H668" s="52">
        <v>752.47119999999995</v>
      </c>
      <c r="I668" s="52">
        <v>1504.9423999999999</v>
      </c>
      <c r="J668" s="52">
        <v>376.08229999999998</v>
      </c>
      <c r="K668" s="52">
        <v>1128.2470000000001</v>
      </c>
      <c r="L668" s="52">
        <v>376.08229999999998</v>
      </c>
      <c r="M668" s="52">
        <v>376.08229999999998</v>
      </c>
      <c r="N668" s="5" t="s">
        <v>69</v>
      </c>
    </row>
    <row r="669" spans="1:14" x14ac:dyDescent="0.25">
      <c r="A669" s="51">
        <v>1.458</v>
      </c>
      <c r="B669" s="52">
        <v>8280.3950000000004</v>
      </c>
      <c r="C669" s="52">
        <v>752.98760000000004</v>
      </c>
      <c r="D669" s="52">
        <v>0</v>
      </c>
      <c r="E669" s="52">
        <v>0</v>
      </c>
      <c r="F669" s="52">
        <v>2258.9629</v>
      </c>
      <c r="G669" s="52">
        <v>752.98760000000004</v>
      </c>
      <c r="H669" s="52">
        <v>752.98760000000004</v>
      </c>
      <c r="I669" s="52">
        <v>1505.9753000000001</v>
      </c>
      <c r="J669" s="52">
        <v>376.08229999999998</v>
      </c>
      <c r="K669" s="52">
        <v>1128.2470000000001</v>
      </c>
      <c r="L669" s="52">
        <v>376.08229999999998</v>
      </c>
      <c r="M669" s="52">
        <v>376.08229999999998</v>
      </c>
      <c r="N669" s="5" t="s">
        <v>69</v>
      </c>
    </row>
    <row r="670" spans="1:14" x14ac:dyDescent="0.25">
      <c r="A670" s="51">
        <v>1.4590000000000001</v>
      </c>
      <c r="B670" s="52">
        <v>8284.5267000000003</v>
      </c>
      <c r="C670" s="52">
        <v>753.50409999999999</v>
      </c>
      <c r="D670" s="52">
        <v>0</v>
      </c>
      <c r="E670" s="52">
        <v>0</v>
      </c>
      <c r="F670" s="52">
        <v>2260.5122000000001</v>
      </c>
      <c r="G670" s="52">
        <v>753.50409999999999</v>
      </c>
      <c r="H670" s="52">
        <v>753.50409999999999</v>
      </c>
      <c r="I670" s="52">
        <v>1507.0082</v>
      </c>
      <c r="J670" s="52">
        <v>376.08229999999998</v>
      </c>
      <c r="K670" s="52">
        <v>1128.2470000000001</v>
      </c>
      <c r="L670" s="52">
        <v>376.08229999999998</v>
      </c>
      <c r="M670" s="52">
        <v>376.08229999999998</v>
      </c>
      <c r="N670" s="5" t="s">
        <v>69</v>
      </c>
    </row>
    <row r="671" spans="1:14" x14ac:dyDescent="0.25">
      <c r="A671" s="51">
        <v>1.46</v>
      </c>
      <c r="B671" s="52">
        <v>8288.6582999999991</v>
      </c>
      <c r="C671" s="52">
        <v>754.02049999999997</v>
      </c>
      <c r="D671" s="52">
        <v>0</v>
      </c>
      <c r="E671" s="52">
        <v>0</v>
      </c>
      <c r="F671" s="52">
        <v>2262.0616</v>
      </c>
      <c r="G671" s="52">
        <v>754.02049999999997</v>
      </c>
      <c r="H671" s="52">
        <v>754.02049999999997</v>
      </c>
      <c r="I671" s="52">
        <v>1508.0410999999999</v>
      </c>
      <c r="J671" s="52">
        <v>376.08229999999998</v>
      </c>
      <c r="K671" s="52">
        <v>1128.2470000000001</v>
      </c>
      <c r="L671" s="52">
        <v>376.08229999999998</v>
      </c>
      <c r="M671" s="52">
        <v>376.08229999999998</v>
      </c>
      <c r="N671" s="5" t="s">
        <v>69</v>
      </c>
    </row>
    <row r="672" spans="1:14" x14ac:dyDescent="0.25">
      <c r="A672" s="51">
        <v>1.4610000000000001</v>
      </c>
      <c r="B672" s="52">
        <v>8292.7898999999998</v>
      </c>
      <c r="C672" s="52">
        <v>754.53700000000003</v>
      </c>
      <c r="D672" s="52">
        <v>0</v>
      </c>
      <c r="E672" s="52">
        <v>0</v>
      </c>
      <c r="F672" s="52">
        <v>2263.6109999999999</v>
      </c>
      <c r="G672" s="52">
        <v>754.53700000000003</v>
      </c>
      <c r="H672" s="52">
        <v>754.53700000000003</v>
      </c>
      <c r="I672" s="52">
        <v>1509.0740000000001</v>
      </c>
      <c r="J672" s="52">
        <v>376.08229999999998</v>
      </c>
      <c r="K672" s="52">
        <v>1128.2470000000001</v>
      </c>
      <c r="L672" s="52">
        <v>376.08229999999998</v>
      </c>
      <c r="M672" s="52">
        <v>376.08229999999998</v>
      </c>
      <c r="N672" s="5" t="s">
        <v>69</v>
      </c>
    </row>
    <row r="673" spans="1:14" x14ac:dyDescent="0.25">
      <c r="A673" s="51">
        <v>1.462</v>
      </c>
      <c r="B673" s="52">
        <v>8296.9215000000004</v>
      </c>
      <c r="C673" s="52">
        <v>755.05340000000001</v>
      </c>
      <c r="D673" s="52">
        <v>0</v>
      </c>
      <c r="E673" s="52">
        <v>0</v>
      </c>
      <c r="F673" s="52">
        <v>2265.1603</v>
      </c>
      <c r="G673" s="52">
        <v>755.05340000000001</v>
      </c>
      <c r="H673" s="52">
        <v>755.05340000000001</v>
      </c>
      <c r="I673" s="52">
        <v>1510.1069</v>
      </c>
      <c r="J673" s="52">
        <v>376.08229999999998</v>
      </c>
      <c r="K673" s="52">
        <v>1128.2470000000001</v>
      </c>
      <c r="L673" s="52">
        <v>376.08229999999998</v>
      </c>
      <c r="M673" s="52">
        <v>376.08229999999998</v>
      </c>
      <c r="N673" s="5" t="s">
        <v>69</v>
      </c>
    </row>
    <row r="674" spans="1:14" x14ac:dyDescent="0.25">
      <c r="A674" s="51">
        <v>1.4630000000000001</v>
      </c>
      <c r="B674" s="52">
        <v>8301.0530999999992</v>
      </c>
      <c r="C674" s="52">
        <v>755.56989999999996</v>
      </c>
      <c r="D674" s="52">
        <v>0</v>
      </c>
      <c r="E674" s="52">
        <v>0</v>
      </c>
      <c r="F674" s="52">
        <v>2266.7096999999999</v>
      </c>
      <c r="G674" s="52">
        <v>755.56989999999996</v>
      </c>
      <c r="H674" s="52">
        <v>755.56989999999996</v>
      </c>
      <c r="I674" s="52">
        <v>1511.1397999999999</v>
      </c>
      <c r="J674" s="52">
        <v>376.08229999999998</v>
      </c>
      <c r="K674" s="52">
        <v>1128.2470000000001</v>
      </c>
      <c r="L674" s="52">
        <v>376.08229999999998</v>
      </c>
      <c r="M674" s="52">
        <v>376.08229999999998</v>
      </c>
      <c r="N674" s="5" t="s">
        <v>69</v>
      </c>
    </row>
    <row r="675" spans="1:14" x14ac:dyDescent="0.25">
      <c r="A675" s="51">
        <v>1.464</v>
      </c>
      <c r="B675" s="52">
        <v>8305.1848000000009</v>
      </c>
      <c r="C675" s="52">
        <v>756.08630000000005</v>
      </c>
      <c r="D675" s="52">
        <v>0</v>
      </c>
      <c r="E675" s="52">
        <v>0</v>
      </c>
      <c r="F675" s="52">
        <v>2268.259</v>
      </c>
      <c r="G675" s="52">
        <v>756.08630000000005</v>
      </c>
      <c r="H675" s="52">
        <v>756.08630000000005</v>
      </c>
      <c r="I675" s="52">
        <v>1512.1727000000001</v>
      </c>
      <c r="J675" s="52">
        <v>376.08229999999998</v>
      </c>
      <c r="K675" s="52">
        <v>1128.2470000000001</v>
      </c>
      <c r="L675" s="52">
        <v>376.08229999999998</v>
      </c>
      <c r="M675" s="52">
        <v>376.08229999999998</v>
      </c>
      <c r="N675" s="5" t="s">
        <v>69</v>
      </c>
    </row>
    <row r="676" spans="1:14" x14ac:dyDescent="0.25">
      <c r="A676" s="51">
        <v>1.4650000000000001</v>
      </c>
      <c r="B676" s="52">
        <v>8309.3163999999997</v>
      </c>
      <c r="C676" s="52">
        <v>756.6028</v>
      </c>
      <c r="D676" s="52">
        <v>0</v>
      </c>
      <c r="E676" s="52">
        <v>0</v>
      </c>
      <c r="F676" s="52">
        <v>2269.8083999999999</v>
      </c>
      <c r="G676" s="52">
        <v>756.6028</v>
      </c>
      <c r="H676" s="52">
        <v>756.6028</v>
      </c>
      <c r="I676" s="52">
        <v>1513.2056</v>
      </c>
      <c r="J676" s="52">
        <v>376.08229999999998</v>
      </c>
      <c r="K676" s="52">
        <v>1128.2470000000001</v>
      </c>
      <c r="L676" s="52">
        <v>376.08229999999998</v>
      </c>
      <c r="M676" s="52">
        <v>376.08229999999998</v>
      </c>
      <c r="N676" s="5" t="s">
        <v>69</v>
      </c>
    </row>
    <row r="677" spans="1:14" x14ac:dyDescent="0.25">
      <c r="A677" s="51">
        <v>1.466</v>
      </c>
      <c r="B677" s="52">
        <v>8313.4480000000003</v>
      </c>
      <c r="C677" s="52">
        <v>757.11919999999998</v>
      </c>
      <c r="D677" s="52">
        <v>0</v>
      </c>
      <c r="E677" s="52">
        <v>0</v>
      </c>
      <c r="F677" s="52">
        <v>2271.3577</v>
      </c>
      <c r="G677" s="52">
        <v>757.11919999999998</v>
      </c>
      <c r="H677" s="52">
        <v>757.11919999999998</v>
      </c>
      <c r="I677" s="52">
        <v>1514.2384999999999</v>
      </c>
      <c r="J677" s="52">
        <v>376.08229999999998</v>
      </c>
      <c r="K677" s="52">
        <v>1128.2470000000001</v>
      </c>
      <c r="L677" s="52">
        <v>376.08229999999998</v>
      </c>
      <c r="M677" s="52">
        <v>376.08229999999998</v>
      </c>
      <c r="N677" s="5" t="s">
        <v>69</v>
      </c>
    </row>
    <row r="678" spans="1:14" x14ac:dyDescent="0.25">
      <c r="A678" s="51">
        <v>1.4670000000000001</v>
      </c>
      <c r="B678" s="52">
        <v>8317.5795999999991</v>
      </c>
      <c r="C678" s="52">
        <v>757.63570000000004</v>
      </c>
      <c r="D678" s="52">
        <v>0</v>
      </c>
      <c r="E678" s="52">
        <v>0</v>
      </c>
      <c r="F678" s="52">
        <v>2272.9070999999999</v>
      </c>
      <c r="G678" s="52">
        <v>757.63570000000004</v>
      </c>
      <c r="H678" s="52">
        <v>757.63570000000004</v>
      </c>
      <c r="I678" s="52">
        <v>1515.2714000000001</v>
      </c>
      <c r="J678" s="52">
        <v>376.08229999999998</v>
      </c>
      <c r="K678" s="52">
        <v>1128.2470000000001</v>
      </c>
      <c r="L678" s="52">
        <v>376.08229999999998</v>
      </c>
      <c r="M678" s="52">
        <v>376.08229999999998</v>
      </c>
      <c r="N678" s="5" t="s">
        <v>69</v>
      </c>
    </row>
    <row r="679" spans="1:14" x14ac:dyDescent="0.25">
      <c r="A679" s="51">
        <v>1.468</v>
      </c>
      <c r="B679" s="52">
        <v>8321.7111999999997</v>
      </c>
      <c r="C679" s="52">
        <v>758.15219999999999</v>
      </c>
      <c r="D679" s="52">
        <v>0</v>
      </c>
      <c r="E679" s="52">
        <v>0</v>
      </c>
      <c r="F679" s="52">
        <v>2274.4564999999998</v>
      </c>
      <c r="G679" s="52">
        <v>758.15219999999999</v>
      </c>
      <c r="H679" s="52">
        <v>758.15219999999999</v>
      </c>
      <c r="I679" s="52">
        <v>1516.3043</v>
      </c>
      <c r="J679" s="52">
        <v>376.08229999999998</v>
      </c>
      <c r="K679" s="52">
        <v>1128.2470000000001</v>
      </c>
      <c r="L679" s="52">
        <v>376.08229999999998</v>
      </c>
      <c r="M679" s="52">
        <v>376.08229999999998</v>
      </c>
      <c r="N679" s="5" t="s">
        <v>69</v>
      </c>
    </row>
    <row r="680" spans="1:14" x14ac:dyDescent="0.25">
      <c r="A680" s="51">
        <v>1.4690000000000001</v>
      </c>
      <c r="B680" s="52">
        <v>8325.8428000000004</v>
      </c>
      <c r="C680" s="52">
        <v>758.66859999999997</v>
      </c>
      <c r="D680" s="52">
        <v>0</v>
      </c>
      <c r="E680" s="52">
        <v>0</v>
      </c>
      <c r="F680" s="52">
        <v>2276.0057999999999</v>
      </c>
      <c r="G680" s="52">
        <v>758.66859999999997</v>
      </c>
      <c r="H680" s="52">
        <v>758.66859999999997</v>
      </c>
      <c r="I680" s="52">
        <v>1517.3371999999999</v>
      </c>
      <c r="J680" s="52">
        <v>376.08229999999998</v>
      </c>
      <c r="K680" s="52">
        <v>1128.2470000000001</v>
      </c>
      <c r="L680" s="52">
        <v>376.08229999999998</v>
      </c>
      <c r="M680" s="52">
        <v>376.08229999999998</v>
      </c>
      <c r="N680" s="5" t="s">
        <v>69</v>
      </c>
    </row>
    <row r="681" spans="1:14" x14ac:dyDescent="0.25">
      <c r="A681" s="51">
        <v>1.47</v>
      </c>
      <c r="B681" s="52">
        <v>8329.9745000000003</v>
      </c>
      <c r="C681" s="52">
        <v>759.18510000000003</v>
      </c>
      <c r="D681" s="52">
        <v>0</v>
      </c>
      <c r="E681" s="52">
        <v>0</v>
      </c>
      <c r="F681" s="52">
        <v>2277.5551999999998</v>
      </c>
      <c r="G681" s="52">
        <v>759.18510000000003</v>
      </c>
      <c r="H681" s="52">
        <v>759.18510000000003</v>
      </c>
      <c r="I681" s="52">
        <v>1518.3701000000001</v>
      </c>
      <c r="J681" s="52">
        <v>376.08229999999998</v>
      </c>
      <c r="K681" s="52">
        <v>1128.2470000000001</v>
      </c>
      <c r="L681" s="52">
        <v>376.08229999999998</v>
      </c>
      <c r="M681" s="52">
        <v>376.08229999999998</v>
      </c>
      <c r="N681" s="5" t="s">
        <v>69</v>
      </c>
    </row>
    <row r="682" spans="1:14" x14ac:dyDescent="0.25">
      <c r="A682" s="51">
        <v>1.4710000000000001</v>
      </c>
      <c r="B682" s="52">
        <v>8334.1061000000009</v>
      </c>
      <c r="C682" s="52">
        <v>759.70150000000001</v>
      </c>
      <c r="D682" s="52">
        <v>0</v>
      </c>
      <c r="E682" s="52">
        <v>0</v>
      </c>
      <c r="F682" s="52">
        <v>2279.1044999999999</v>
      </c>
      <c r="G682" s="52">
        <v>759.70150000000001</v>
      </c>
      <c r="H682" s="52">
        <v>759.70150000000001</v>
      </c>
      <c r="I682" s="52">
        <v>1519.403</v>
      </c>
      <c r="J682" s="52">
        <v>376.08229999999998</v>
      </c>
      <c r="K682" s="52">
        <v>1128.2470000000001</v>
      </c>
      <c r="L682" s="52">
        <v>376.08229999999998</v>
      </c>
      <c r="M682" s="52">
        <v>376.08229999999998</v>
      </c>
      <c r="N682" s="5" t="s">
        <v>69</v>
      </c>
    </row>
    <row r="683" spans="1:14" x14ac:dyDescent="0.25">
      <c r="A683" s="51">
        <v>1.472</v>
      </c>
      <c r="B683" s="52">
        <v>8338.2376999999997</v>
      </c>
      <c r="C683" s="52">
        <v>760.21799999999996</v>
      </c>
      <c r="D683" s="52">
        <v>0</v>
      </c>
      <c r="E683" s="52">
        <v>0</v>
      </c>
      <c r="F683" s="52">
        <v>2280.6538999999998</v>
      </c>
      <c r="G683" s="52">
        <v>760.21799999999996</v>
      </c>
      <c r="H683" s="52">
        <v>760.21799999999996</v>
      </c>
      <c r="I683" s="52">
        <v>1520.4358999999999</v>
      </c>
      <c r="J683" s="52">
        <v>376.08229999999998</v>
      </c>
      <c r="K683" s="52">
        <v>1128.2470000000001</v>
      </c>
      <c r="L683" s="52">
        <v>376.08229999999998</v>
      </c>
      <c r="M683" s="52">
        <v>376.08229999999998</v>
      </c>
      <c r="N683" s="5" t="s">
        <v>69</v>
      </c>
    </row>
    <row r="684" spans="1:14" x14ac:dyDescent="0.25">
      <c r="A684" s="51">
        <v>1.4730000000000001</v>
      </c>
      <c r="B684" s="52">
        <v>8342.3693000000003</v>
      </c>
      <c r="C684" s="52">
        <v>760.73440000000005</v>
      </c>
      <c r="D684" s="52">
        <v>0</v>
      </c>
      <c r="E684" s="52">
        <v>0</v>
      </c>
      <c r="F684" s="52">
        <v>2282.2031999999999</v>
      </c>
      <c r="G684" s="52">
        <v>760.73440000000005</v>
      </c>
      <c r="H684" s="52">
        <v>760.73440000000005</v>
      </c>
      <c r="I684" s="52">
        <v>1521.4688000000001</v>
      </c>
      <c r="J684" s="52">
        <v>376.08229999999998</v>
      </c>
      <c r="K684" s="52">
        <v>1128.2470000000001</v>
      </c>
      <c r="L684" s="52">
        <v>376.08229999999998</v>
      </c>
      <c r="M684" s="52">
        <v>376.08229999999998</v>
      </c>
      <c r="N684" s="5" t="s">
        <v>69</v>
      </c>
    </row>
    <row r="685" spans="1:14" x14ac:dyDescent="0.25">
      <c r="A685" s="51">
        <v>1.474</v>
      </c>
      <c r="B685" s="52">
        <v>8346.5008999999991</v>
      </c>
      <c r="C685" s="52">
        <v>761.2509</v>
      </c>
      <c r="D685" s="52">
        <v>0</v>
      </c>
      <c r="E685" s="52">
        <v>0</v>
      </c>
      <c r="F685" s="52">
        <v>2283.7525999999998</v>
      </c>
      <c r="G685" s="52">
        <v>761.2509</v>
      </c>
      <c r="H685" s="52">
        <v>761.2509</v>
      </c>
      <c r="I685" s="52">
        <v>1522.5017</v>
      </c>
      <c r="J685" s="52">
        <v>376.08229999999998</v>
      </c>
      <c r="K685" s="52">
        <v>1128.2470000000001</v>
      </c>
      <c r="L685" s="52">
        <v>376.08229999999998</v>
      </c>
      <c r="M685" s="52">
        <v>376.08229999999998</v>
      </c>
      <c r="N685" s="5" t="s">
        <v>69</v>
      </c>
    </row>
    <row r="686" spans="1:14" x14ac:dyDescent="0.25">
      <c r="A686" s="51">
        <v>1.4750000000000001</v>
      </c>
      <c r="B686" s="52">
        <v>8350.6326000000008</v>
      </c>
      <c r="C686" s="52">
        <v>761.76729999999998</v>
      </c>
      <c r="D686" s="52">
        <v>0</v>
      </c>
      <c r="E686" s="52">
        <v>0</v>
      </c>
      <c r="F686" s="52">
        <v>2285.3020000000001</v>
      </c>
      <c r="G686" s="52">
        <v>761.76729999999998</v>
      </c>
      <c r="H686" s="52">
        <v>761.76729999999998</v>
      </c>
      <c r="I686" s="52">
        <v>1523.5346</v>
      </c>
      <c r="J686" s="52">
        <v>376.08229999999998</v>
      </c>
      <c r="K686" s="52">
        <v>1128.2470000000001</v>
      </c>
      <c r="L686" s="52">
        <v>376.08229999999998</v>
      </c>
      <c r="M686" s="52">
        <v>376.08229999999998</v>
      </c>
      <c r="N686" s="5" t="s">
        <v>69</v>
      </c>
    </row>
    <row r="687" spans="1:14" x14ac:dyDescent="0.25">
      <c r="A687" s="51">
        <v>1.476</v>
      </c>
      <c r="B687" s="52">
        <v>8354.7641999999996</v>
      </c>
      <c r="C687" s="52">
        <v>762.28380000000004</v>
      </c>
      <c r="D687" s="52">
        <v>0</v>
      </c>
      <c r="E687" s="52">
        <v>0</v>
      </c>
      <c r="F687" s="52">
        <v>2286.8512999999998</v>
      </c>
      <c r="G687" s="52">
        <v>762.28380000000004</v>
      </c>
      <c r="H687" s="52">
        <v>762.28380000000004</v>
      </c>
      <c r="I687" s="52">
        <v>1524.5675000000001</v>
      </c>
      <c r="J687" s="52">
        <v>376.08229999999998</v>
      </c>
      <c r="K687" s="52">
        <v>1128.2470000000001</v>
      </c>
      <c r="L687" s="52">
        <v>376.08229999999998</v>
      </c>
      <c r="M687" s="52">
        <v>376.08229999999998</v>
      </c>
      <c r="N687" s="5" t="s">
        <v>69</v>
      </c>
    </row>
    <row r="688" spans="1:14" x14ac:dyDescent="0.25">
      <c r="A688" s="51">
        <v>1.4770000000000001</v>
      </c>
      <c r="B688" s="52">
        <v>8358.8958000000002</v>
      </c>
      <c r="C688" s="52">
        <v>762.80020000000002</v>
      </c>
      <c r="D688" s="52">
        <v>0</v>
      </c>
      <c r="E688" s="52">
        <v>0</v>
      </c>
      <c r="F688" s="52">
        <v>2288.4007000000001</v>
      </c>
      <c r="G688" s="52">
        <v>762.80020000000002</v>
      </c>
      <c r="H688" s="52">
        <v>762.80020000000002</v>
      </c>
      <c r="I688" s="52">
        <v>1525.6005</v>
      </c>
      <c r="J688" s="52">
        <v>376.08229999999998</v>
      </c>
      <c r="K688" s="52">
        <v>1128.2470000000001</v>
      </c>
      <c r="L688" s="52">
        <v>376.08229999999998</v>
      </c>
      <c r="M688" s="52">
        <v>376.08229999999998</v>
      </c>
      <c r="N688" s="5" t="s">
        <v>69</v>
      </c>
    </row>
    <row r="689" spans="1:14" x14ac:dyDescent="0.25">
      <c r="A689" s="51">
        <v>1.478</v>
      </c>
      <c r="B689" s="52">
        <v>8363.0274000000009</v>
      </c>
      <c r="C689" s="52">
        <v>763.31669999999997</v>
      </c>
      <c r="D689" s="52">
        <v>0</v>
      </c>
      <c r="E689" s="52">
        <v>0</v>
      </c>
      <c r="F689" s="52">
        <v>2289.9499999999998</v>
      </c>
      <c r="G689" s="52">
        <v>763.31669999999997</v>
      </c>
      <c r="H689" s="52">
        <v>763.31669999999997</v>
      </c>
      <c r="I689" s="52">
        <v>1526.6333999999999</v>
      </c>
      <c r="J689" s="52">
        <v>376.08229999999998</v>
      </c>
      <c r="K689" s="52">
        <v>1128.2470000000001</v>
      </c>
      <c r="L689" s="52">
        <v>376.08229999999998</v>
      </c>
      <c r="M689" s="52">
        <v>376.08229999999998</v>
      </c>
      <c r="N689" s="5" t="s">
        <v>69</v>
      </c>
    </row>
    <row r="690" spans="1:14" x14ac:dyDescent="0.25">
      <c r="A690" s="51">
        <v>1.4790000000000001</v>
      </c>
      <c r="B690" s="52">
        <v>8367.1589999999997</v>
      </c>
      <c r="C690" s="52">
        <v>763.83309999999994</v>
      </c>
      <c r="D690" s="52">
        <v>0</v>
      </c>
      <c r="E690" s="52">
        <v>0</v>
      </c>
      <c r="F690" s="52">
        <v>2291.4994000000002</v>
      </c>
      <c r="G690" s="52">
        <v>763.83309999999994</v>
      </c>
      <c r="H690" s="52">
        <v>763.83309999999994</v>
      </c>
      <c r="I690" s="52">
        <v>1527.6663000000001</v>
      </c>
      <c r="J690" s="52">
        <v>376.08229999999998</v>
      </c>
      <c r="K690" s="52">
        <v>1128.2470000000001</v>
      </c>
      <c r="L690" s="52">
        <v>376.08229999999998</v>
      </c>
      <c r="M690" s="52">
        <v>376.08229999999998</v>
      </c>
      <c r="N690" s="5" t="s">
        <v>69</v>
      </c>
    </row>
    <row r="691" spans="1:14" x14ac:dyDescent="0.25">
      <c r="A691" s="51">
        <v>1.48</v>
      </c>
      <c r="B691" s="52">
        <v>8371.2906999999996</v>
      </c>
      <c r="C691" s="52">
        <v>764.34960000000001</v>
      </c>
      <c r="D691" s="52">
        <v>0</v>
      </c>
      <c r="E691" s="52">
        <v>0</v>
      </c>
      <c r="F691" s="52">
        <v>2293.0488</v>
      </c>
      <c r="G691" s="52">
        <v>764.34960000000001</v>
      </c>
      <c r="H691" s="52">
        <v>764.34960000000001</v>
      </c>
      <c r="I691" s="52">
        <v>1528.6992</v>
      </c>
      <c r="J691" s="52">
        <v>376.08229999999998</v>
      </c>
      <c r="K691" s="52">
        <v>1128.2470000000001</v>
      </c>
      <c r="L691" s="52">
        <v>376.08229999999998</v>
      </c>
      <c r="M691" s="52">
        <v>376.08229999999998</v>
      </c>
      <c r="N691" s="5" t="s">
        <v>69</v>
      </c>
    </row>
    <row r="692" spans="1:14" x14ac:dyDescent="0.25">
      <c r="A692" s="51">
        <v>1.4810000000000001</v>
      </c>
      <c r="B692" s="52">
        <v>8375.4223000000002</v>
      </c>
      <c r="C692" s="52">
        <v>764.86599999999999</v>
      </c>
      <c r="D692" s="52">
        <v>0</v>
      </c>
      <c r="E692" s="52">
        <v>0</v>
      </c>
      <c r="F692" s="52">
        <v>2294.5981000000002</v>
      </c>
      <c r="G692" s="52">
        <v>764.86599999999999</v>
      </c>
      <c r="H692" s="52">
        <v>764.86599999999999</v>
      </c>
      <c r="I692" s="52">
        <v>1529.7320999999999</v>
      </c>
      <c r="J692" s="52">
        <v>376.08229999999998</v>
      </c>
      <c r="K692" s="52">
        <v>1128.2470000000001</v>
      </c>
      <c r="L692" s="52">
        <v>376.08229999999998</v>
      </c>
      <c r="M692" s="52">
        <v>376.08229999999998</v>
      </c>
      <c r="N692" s="5" t="s">
        <v>69</v>
      </c>
    </row>
    <row r="693" spans="1:14" x14ac:dyDescent="0.25">
      <c r="A693" s="51">
        <v>1.482</v>
      </c>
      <c r="B693" s="52">
        <v>8379.5539000000008</v>
      </c>
      <c r="C693" s="52">
        <v>765.38250000000005</v>
      </c>
      <c r="D693" s="52">
        <v>0</v>
      </c>
      <c r="E693" s="52">
        <v>0</v>
      </c>
      <c r="F693" s="52">
        <v>2296.1475</v>
      </c>
      <c r="G693" s="52">
        <v>765.38250000000005</v>
      </c>
      <c r="H693" s="52">
        <v>765.38250000000005</v>
      </c>
      <c r="I693" s="52">
        <v>1530.7650000000001</v>
      </c>
      <c r="J693" s="52">
        <v>376.08229999999998</v>
      </c>
      <c r="K693" s="52">
        <v>1128.2470000000001</v>
      </c>
      <c r="L693" s="52">
        <v>376.08229999999998</v>
      </c>
      <c r="M693" s="52">
        <v>376.08229999999998</v>
      </c>
      <c r="N693" s="5" t="s">
        <v>69</v>
      </c>
    </row>
    <row r="694" spans="1:14" x14ac:dyDescent="0.25">
      <c r="A694" s="51">
        <v>1.4830000000000001</v>
      </c>
      <c r="B694" s="52">
        <v>8383.6854999999996</v>
      </c>
      <c r="C694" s="52">
        <v>765.89890000000003</v>
      </c>
      <c r="D694" s="52">
        <v>0</v>
      </c>
      <c r="E694" s="52">
        <v>0</v>
      </c>
      <c r="F694" s="52">
        <v>2297.6968000000002</v>
      </c>
      <c r="G694" s="52">
        <v>765.89890000000003</v>
      </c>
      <c r="H694" s="52">
        <v>765.89890000000003</v>
      </c>
      <c r="I694" s="52">
        <v>1531.7979</v>
      </c>
      <c r="J694" s="52">
        <v>376.08229999999998</v>
      </c>
      <c r="K694" s="52">
        <v>1128.2470000000001</v>
      </c>
      <c r="L694" s="52">
        <v>376.08229999999998</v>
      </c>
      <c r="M694" s="52">
        <v>376.08229999999998</v>
      </c>
      <c r="N694" s="5" t="s">
        <v>69</v>
      </c>
    </row>
    <row r="695" spans="1:14" x14ac:dyDescent="0.25">
      <c r="A695" s="51">
        <v>1.484</v>
      </c>
      <c r="B695" s="52">
        <v>8387.8171000000002</v>
      </c>
      <c r="C695" s="52">
        <v>766.41539999999998</v>
      </c>
      <c r="D695" s="52">
        <v>0</v>
      </c>
      <c r="E695" s="52">
        <v>0</v>
      </c>
      <c r="F695" s="52">
        <v>2299.2462</v>
      </c>
      <c r="G695" s="52">
        <v>766.41539999999998</v>
      </c>
      <c r="H695" s="52">
        <v>766.41539999999998</v>
      </c>
      <c r="I695" s="52">
        <v>1532.8308</v>
      </c>
      <c r="J695" s="52">
        <v>376.08229999999998</v>
      </c>
      <c r="K695" s="52">
        <v>1128.2470000000001</v>
      </c>
      <c r="L695" s="52">
        <v>376.08229999999998</v>
      </c>
      <c r="M695" s="52">
        <v>376.08229999999998</v>
      </c>
      <c r="N695" s="5" t="s">
        <v>69</v>
      </c>
    </row>
    <row r="696" spans="1:14" x14ac:dyDescent="0.25">
      <c r="A696" s="51">
        <v>1.4850000000000001</v>
      </c>
      <c r="B696" s="52">
        <v>8391.9488000000001</v>
      </c>
      <c r="C696" s="52">
        <v>766.93179999999995</v>
      </c>
      <c r="D696" s="52">
        <v>0</v>
      </c>
      <c r="E696" s="52">
        <v>0</v>
      </c>
      <c r="F696" s="52">
        <v>2300.7955000000002</v>
      </c>
      <c r="G696" s="52">
        <v>766.93179999999995</v>
      </c>
      <c r="H696" s="52">
        <v>766.93179999999995</v>
      </c>
      <c r="I696" s="52">
        <v>1533.8637000000001</v>
      </c>
      <c r="J696" s="52">
        <v>376.08229999999998</v>
      </c>
      <c r="K696" s="52">
        <v>1128.2470000000001</v>
      </c>
      <c r="L696" s="52">
        <v>376.08229999999998</v>
      </c>
      <c r="M696" s="52">
        <v>376.08229999999998</v>
      </c>
      <c r="N696" s="5" t="s">
        <v>69</v>
      </c>
    </row>
    <row r="697" spans="1:14" x14ac:dyDescent="0.25">
      <c r="A697" s="51">
        <v>1.486</v>
      </c>
      <c r="B697" s="52">
        <v>8396.0804000000007</v>
      </c>
      <c r="C697" s="52">
        <v>767.44830000000002</v>
      </c>
      <c r="D697" s="52">
        <v>0</v>
      </c>
      <c r="E697" s="52">
        <v>0</v>
      </c>
      <c r="F697" s="52">
        <v>2302.3449000000001</v>
      </c>
      <c r="G697" s="52">
        <v>767.44830000000002</v>
      </c>
      <c r="H697" s="52">
        <v>767.44830000000002</v>
      </c>
      <c r="I697" s="52">
        <v>1534.8966</v>
      </c>
      <c r="J697" s="52">
        <v>376.08229999999998</v>
      </c>
      <c r="K697" s="52">
        <v>1128.2470000000001</v>
      </c>
      <c r="L697" s="52">
        <v>376.08229999999998</v>
      </c>
      <c r="M697" s="52">
        <v>376.08229999999998</v>
      </c>
      <c r="N697" s="5" t="s">
        <v>69</v>
      </c>
    </row>
    <row r="698" spans="1:14" x14ac:dyDescent="0.25">
      <c r="A698" s="51">
        <v>1.4870000000000001</v>
      </c>
      <c r="B698" s="52">
        <v>8400.2119999999995</v>
      </c>
      <c r="C698" s="52">
        <v>767.96479999999997</v>
      </c>
      <c r="D698" s="52">
        <v>0</v>
      </c>
      <c r="E698" s="52">
        <v>0</v>
      </c>
      <c r="F698" s="52">
        <v>2303.8942999999999</v>
      </c>
      <c r="G698" s="52">
        <v>767.96479999999997</v>
      </c>
      <c r="H698" s="52">
        <v>767.96479999999997</v>
      </c>
      <c r="I698" s="52">
        <v>1535.9295</v>
      </c>
      <c r="J698" s="52">
        <v>376.08229999999998</v>
      </c>
      <c r="K698" s="52">
        <v>1128.2470000000001</v>
      </c>
      <c r="L698" s="52">
        <v>376.08229999999998</v>
      </c>
      <c r="M698" s="52">
        <v>376.08229999999998</v>
      </c>
      <c r="N698" s="5" t="s">
        <v>69</v>
      </c>
    </row>
    <row r="699" spans="1:14" x14ac:dyDescent="0.25">
      <c r="A699" s="51">
        <v>1.488</v>
      </c>
      <c r="B699" s="52">
        <v>8404.3436000000002</v>
      </c>
      <c r="C699" s="52">
        <v>768.48119999999994</v>
      </c>
      <c r="D699" s="52">
        <v>0</v>
      </c>
      <c r="E699" s="52">
        <v>0</v>
      </c>
      <c r="F699" s="52">
        <v>2305.4436000000001</v>
      </c>
      <c r="G699" s="52">
        <v>768.48119999999994</v>
      </c>
      <c r="H699" s="52">
        <v>768.48119999999994</v>
      </c>
      <c r="I699" s="52">
        <v>1536.9623999999999</v>
      </c>
      <c r="J699" s="52">
        <v>376.08229999999998</v>
      </c>
      <c r="K699" s="52">
        <v>1128.2470000000001</v>
      </c>
      <c r="L699" s="52">
        <v>376.08229999999998</v>
      </c>
      <c r="M699" s="52">
        <v>376.08229999999998</v>
      </c>
      <c r="N699" s="5" t="s">
        <v>69</v>
      </c>
    </row>
    <row r="700" spans="1:14" x14ac:dyDescent="0.25">
      <c r="A700" s="51">
        <v>1.4890000000000001</v>
      </c>
      <c r="B700" s="52">
        <v>8408.4752000000008</v>
      </c>
      <c r="C700" s="52">
        <v>768.99770000000001</v>
      </c>
      <c r="D700" s="52">
        <v>0</v>
      </c>
      <c r="E700" s="52">
        <v>0</v>
      </c>
      <c r="F700" s="52">
        <v>2306.9929999999999</v>
      </c>
      <c r="G700" s="52">
        <v>768.99770000000001</v>
      </c>
      <c r="H700" s="52">
        <v>768.99770000000001</v>
      </c>
      <c r="I700" s="52">
        <v>1537.9953</v>
      </c>
      <c r="J700" s="52">
        <v>376.08229999999998</v>
      </c>
      <c r="K700" s="52">
        <v>1128.2470000000001</v>
      </c>
      <c r="L700" s="52">
        <v>376.08229999999998</v>
      </c>
      <c r="M700" s="52">
        <v>376.08229999999998</v>
      </c>
      <c r="N700" s="5" t="s">
        <v>69</v>
      </c>
    </row>
    <row r="701" spans="1:14" x14ac:dyDescent="0.25">
      <c r="A701" s="51">
        <v>1.49</v>
      </c>
      <c r="B701" s="52">
        <v>8412.6069000000007</v>
      </c>
      <c r="C701" s="52">
        <v>769.51409999999998</v>
      </c>
      <c r="D701" s="52">
        <v>0</v>
      </c>
      <c r="E701" s="52">
        <v>0</v>
      </c>
      <c r="F701" s="52">
        <v>2308.5423000000001</v>
      </c>
      <c r="G701" s="52">
        <v>769.51409999999998</v>
      </c>
      <c r="H701" s="52">
        <v>769.51409999999998</v>
      </c>
      <c r="I701" s="52">
        <v>1539.0282</v>
      </c>
      <c r="J701" s="52">
        <v>376.08229999999998</v>
      </c>
      <c r="K701" s="52">
        <v>1128.2470000000001</v>
      </c>
      <c r="L701" s="52">
        <v>376.08229999999998</v>
      </c>
      <c r="M701" s="52">
        <v>376.08229999999998</v>
      </c>
      <c r="N701" s="5" t="s">
        <v>69</v>
      </c>
    </row>
    <row r="702" spans="1:14" x14ac:dyDescent="0.25">
      <c r="A702" s="51">
        <v>1.4910000000000001</v>
      </c>
      <c r="B702" s="52">
        <v>8416.7384999999995</v>
      </c>
      <c r="C702" s="52">
        <v>770.03060000000005</v>
      </c>
      <c r="D702" s="52">
        <v>0</v>
      </c>
      <c r="E702" s="52">
        <v>0</v>
      </c>
      <c r="F702" s="52">
        <v>2310.0916999999999</v>
      </c>
      <c r="G702" s="52">
        <v>770.03060000000005</v>
      </c>
      <c r="H702" s="52">
        <v>770.03060000000005</v>
      </c>
      <c r="I702" s="52">
        <v>1540.0610999999999</v>
      </c>
      <c r="J702" s="52">
        <v>376.08229999999998</v>
      </c>
      <c r="K702" s="52">
        <v>1128.2470000000001</v>
      </c>
      <c r="L702" s="52">
        <v>376.08229999999998</v>
      </c>
      <c r="M702" s="52">
        <v>376.08229999999998</v>
      </c>
      <c r="N702" s="5" t="s">
        <v>69</v>
      </c>
    </row>
    <row r="703" spans="1:14" x14ac:dyDescent="0.25">
      <c r="A703" s="51">
        <v>1.492</v>
      </c>
      <c r="B703" s="52">
        <v>8420.8701000000001</v>
      </c>
      <c r="C703" s="52">
        <v>770.54700000000003</v>
      </c>
      <c r="D703" s="52">
        <v>0</v>
      </c>
      <c r="E703" s="52">
        <v>0</v>
      </c>
      <c r="F703" s="52">
        <v>2311.6410000000001</v>
      </c>
      <c r="G703" s="52">
        <v>770.54700000000003</v>
      </c>
      <c r="H703" s="52">
        <v>770.54700000000003</v>
      </c>
      <c r="I703" s="52">
        <v>1541.0940000000001</v>
      </c>
      <c r="J703" s="52">
        <v>376.08229999999998</v>
      </c>
      <c r="K703" s="52">
        <v>1128.2470000000001</v>
      </c>
      <c r="L703" s="52">
        <v>376.08229999999998</v>
      </c>
      <c r="M703" s="52">
        <v>376.08229999999998</v>
      </c>
      <c r="N703" s="5" t="s">
        <v>69</v>
      </c>
    </row>
    <row r="704" spans="1:14" x14ac:dyDescent="0.25">
      <c r="A704" s="51">
        <v>1.4930000000000001</v>
      </c>
      <c r="B704" s="52">
        <v>8425.0017000000007</v>
      </c>
      <c r="C704" s="52">
        <v>771.06349999999998</v>
      </c>
      <c r="D704" s="52">
        <v>0</v>
      </c>
      <c r="E704" s="52">
        <v>0</v>
      </c>
      <c r="F704" s="52">
        <v>2313.1904</v>
      </c>
      <c r="G704" s="52">
        <v>771.06349999999998</v>
      </c>
      <c r="H704" s="52">
        <v>771.06349999999998</v>
      </c>
      <c r="I704" s="52">
        <v>1542.1269</v>
      </c>
      <c r="J704" s="52">
        <v>376.08229999999998</v>
      </c>
      <c r="K704" s="52">
        <v>1128.2470000000001</v>
      </c>
      <c r="L704" s="52">
        <v>376.08229999999998</v>
      </c>
      <c r="M704" s="52">
        <v>376.08229999999998</v>
      </c>
      <c r="N704" s="5" t="s">
        <v>69</v>
      </c>
    </row>
    <row r="705" spans="1:14" x14ac:dyDescent="0.25">
      <c r="A705" s="51">
        <v>1.494</v>
      </c>
      <c r="B705" s="52">
        <v>8429.1332999999995</v>
      </c>
      <c r="C705" s="52">
        <v>771.57989999999995</v>
      </c>
      <c r="D705" s="52">
        <v>0</v>
      </c>
      <c r="E705" s="52">
        <v>0</v>
      </c>
      <c r="F705" s="52">
        <v>2314.7397999999998</v>
      </c>
      <c r="G705" s="52">
        <v>771.57989999999995</v>
      </c>
      <c r="H705" s="52">
        <v>771.57989999999995</v>
      </c>
      <c r="I705" s="52">
        <v>1543.1597999999999</v>
      </c>
      <c r="J705" s="52">
        <v>376.08229999999998</v>
      </c>
      <c r="K705" s="52">
        <v>1128.2470000000001</v>
      </c>
      <c r="L705" s="52">
        <v>376.08229999999998</v>
      </c>
      <c r="M705" s="52">
        <v>376.08229999999998</v>
      </c>
      <c r="N705" s="5" t="s">
        <v>69</v>
      </c>
    </row>
    <row r="706" spans="1:14" x14ac:dyDescent="0.25">
      <c r="A706" s="51">
        <v>1.4950000000000001</v>
      </c>
      <c r="B706" s="52">
        <v>8433.2649999999994</v>
      </c>
      <c r="C706" s="52">
        <v>772.09640000000002</v>
      </c>
      <c r="D706" s="52">
        <v>0</v>
      </c>
      <c r="E706" s="52">
        <v>0</v>
      </c>
      <c r="F706" s="52">
        <v>2316.2891</v>
      </c>
      <c r="G706" s="52">
        <v>772.09640000000002</v>
      </c>
      <c r="H706" s="52">
        <v>772.09640000000002</v>
      </c>
      <c r="I706" s="52">
        <v>1544.1927000000001</v>
      </c>
      <c r="J706" s="52">
        <v>376.08229999999998</v>
      </c>
      <c r="K706" s="52">
        <v>1128.2470000000001</v>
      </c>
      <c r="L706" s="52">
        <v>376.08229999999998</v>
      </c>
      <c r="M706" s="52">
        <v>376.08229999999998</v>
      </c>
      <c r="N706" s="5" t="s">
        <v>69</v>
      </c>
    </row>
    <row r="707" spans="1:14" x14ac:dyDescent="0.25">
      <c r="A707" s="51">
        <v>1.496</v>
      </c>
      <c r="B707" s="52">
        <v>8437.3966</v>
      </c>
      <c r="C707" s="52">
        <v>772.61279999999999</v>
      </c>
      <c r="D707" s="52">
        <v>0</v>
      </c>
      <c r="E707" s="52">
        <v>0</v>
      </c>
      <c r="F707" s="52">
        <v>2317.8384999999998</v>
      </c>
      <c r="G707" s="52">
        <v>772.61279999999999</v>
      </c>
      <c r="H707" s="52">
        <v>772.61279999999999</v>
      </c>
      <c r="I707" s="52">
        <v>1545.2256</v>
      </c>
      <c r="J707" s="52">
        <v>376.08229999999998</v>
      </c>
      <c r="K707" s="52">
        <v>1128.2470000000001</v>
      </c>
      <c r="L707" s="52">
        <v>376.08229999999998</v>
      </c>
      <c r="M707" s="52">
        <v>376.08229999999998</v>
      </c>
      <c r="N707" s="5" t="s">
        <v>69</v>
      </c>
    </row>
    <row r="708" spans="1:14" x14ac:dyDescent="0.25">
      <c r="A708" s="51">
        <v>1.4970000000000001</v>
      </c>
      <c r="B708" s="52">
        <v>8441.5282000000007</v>
      </c>
      <c r="C708" s="52">
        <v>773.12929999999994</v>
      </c>
      <c r="D708" s="52">
        <v>0</v>
      </c>
      <c r="E708" s="52">
        <v>0</v>
      </c>
      <c r="F708" s="52">
        <v>2319.3878</v>
      </c>
      <c r="G708" s="52">
        <v>773.12929999999994</v>
      </c>
      <c r="H708" s="52">
        <v>773.12929999999994</v>
      </c>
      <c r="I708" s="52">
        <v>1546.2584999999999</v>
      </c>
      <c r="J708" s="52">
        <v>376.08229999999998</v>
      </c>
      <c r="K708" s="52">
        <v>1128.2470000000001</v>
      </c>
      <c r="L708" s="52">
        <v>376.08229999999998</v>
      </c>
      <c r="M708" s="52">
        <v>376.08229999999998</v>
      </c>
      <c r="N708" s="5" t="s">
        <v>69</v>
      </c>
    </row>
    <row r="709" spans="1:14" x14ac:dyDescent="0.25">
      <c r="A709" s="51">
        <v>1.498</v>
      </c>
      <c r="B709" s="52">
        <v>8445.6597999999994</v>
      </c>
      <c r="C709" s="52">
        <v>773.64570000000003</v>
      </c>
      <c r="D709" s="52">
        <v>0</v>
      </c>
      <c r="E709" s="52">
        <v>0</v>
      </c>
      <c r="F709" s="52">
        <v>2320.9371999999998</v>
      </c>
      <c r="G709" s="52">
        <v>773.64570000000003</v>
      </c>
      <c r="H709" s="52">
        <v>773.64570000000003</v>
      </c>
      <c r="I709" s="52">
        <v>1547.2915</v>
      </c>
      <c r="J709" s="52">
        <v>376.08229999999998</v>
      </c>
      <c r="K709" s="52">
        <v>1128.2470000000001</v>
      </c>
      <c r="L709" s="52">
        <v>376.08229999999998</v>
      </c>
      <c r="M709" s="52">
        <v>376.08229999999998</v>
      </c>
      <c r="N709" s="5" t="s">
        <v>69</v>
      </c>
    </row>
    <row r="710" spans="1:14" x14ac:dyDescent="0.25">
      <c r="A710" s="51">
        <v>1.4990000000000001</v>
      </c>
      <c r="B710" s="52">
        <v>8449.7914000000001</v>
      </c>
      <c r="C710" s="52">
        <v>774.16219999999998</v>
      </c>
      <c r="D710" s="52">
        <v>0</v>
      </c>
      <c r="E710" s="52">
        <v>0</v>
      </c>
      <c r="F710" s="52">
        <v>2322.4865</v>
      </c>
      <c r="G710" s="52">
        <v>774.16219999999998</v>
      </c>
      <c r="H710" s="52">
        <v>774.16219999999998</v>
      </c>
      <c r="I710" s="52">
        <v>1548.3244</v>
      </c>
      <c r="J710" s="52">
        <v>376.08229999999998</v>
      </c>
      <c r="K710" s="52">
        <v>1128.2470000000001</v>
      </c>
      <c r="L710" s="52">
        <v>376.08229999999998</v>
      </c>
      <c r="M710" s="52">
        <v>376.08229999999998</v>
      </c>
      <c r="N710" s="5" t="s">
        <v>69</v>
      </c>
    </row>
    <row r="711" spans="1:14" x14ac:dyDescent="0.25">
      <c r="A711" s="51">
        <v>1.5</v>
      </c>
      <c r="B711" s="52">
        <v>8492.9006000000008</v>
      </c>
      <c r="C711" s="52">
        <v>779.55079999999998</v>
      </c>
      <c r="D711" s="52">
        <v>0</v>
      </c>
      <c r="E711" s="52">
        <v>0</v>
      </c>
      <c r="F711" s="52">
        <v>2338.6525000000001</v>
      </c>
      <c r="G711" s="52">
        <v>779.55079999999998</v>
      </c>
      <c r="H711" s="52">
        <v>779.55079999999998</v>
      </c>
      <c r="I711" s="52">
        <v>1559.1016</v>
      </c>
      <c r="J711" s="52">
        <v>376.08229999999998</v>
      </c>
      <c r="K711" s="52">
        <v>1128.2470000000001</v>
      </c>
      <c r="L711" s="52">
        <v>376.08229999999998</v>
      </c>
      <c r="M711" s="52">
        <v>376.08229999999998</v>
      </c>
      <c r="N711" s="5" t="s">
        <v>69</v>
      </c>
    </row>
  </sheetData>
  <conditionalFormatting sqref="N6:N711">
    <cfRule type="cellIs" dxfId="53" priority="1" operator="equal">
      <formula>"OK"</formula>
    </cfRule>
    <cfRule type="cellIs" dxfId="52" priority="2" operator="equal">
      <formula>"Erro"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B6E0A-A9A2-43F7-B77A-66029BCCBC26}">
  <sheetPr codeName="Planilha20"/>
  <dimension ref="A1:N711"/>
  <sheetViews>
    <sheetView showGridLines="0" workbookViewId="0">
      <pane xSplit="1" ySplit="5" topLeftCell="B186" activePane="bottomRight" state="frozen"/>
      <selection pane="topRight" activeCell="B1" sqref="B1"/>
      <selection pane="bottomLeft" activeCell="A6" sqref="A6"/>
      <selection pane="bottomRight" sqref="A1:XFD4"/>
    </sheetView>
  </sheetViews>
  <sheetFormatPr defaultRowHeight="15" x14ac:dyDescent="0.25"/>
  <cols>
    <col min="1" max="13" width="9.140625" style="1" bestFit="1" customWidth="1"/>
    <col min="14" max="14" width="8.7109375" style="1" bestFit="1" customWidth="1"/>
    <col min="15" max="16384" width="9.140625" style="1"/>
  </cols>
  <sheetData>
    <row r="1" spans="1:14" ht="15.75" x14ac:dyDescent="0.25">
      <c r="A1" s="88" t="s">
        <v>293</v>
      </c>
    </row>
    <row r="2" spans="1:14" x14ac:dyDescent="0.25">
      <c r="A2" s="78" t="str" cm="1">
        <f t="array" ref="A2" xml:space="preserve"> "Tabela de valores base e pesos para ano fiscal CSL Behring " &amp; Datas[AnoMes-Fiscal]</f>
        <v>Tabela de valores base e pesos para ano fiscal CSL Behring 2020/2021 (01-Jul)</v>
      </c>
    </row>
    <row r="4" spans="1:14" x14ac:dyDescent="0.25">
      <c r="A4" s="86" t="s">
        <v>291</v>
      </c>
      <c r="B4" s="87">
        <f>VLOOKUP(1,Valores_Representantes_HSP[],2,0)</f>
        <v>3760.8233</v>
      </c>
      <c r="C4" s="87">
        <f>VLOOKUP(1,Valores_Representantes_HSP[],3,0)</f>
        <v>0</v>
      </c>
      <c r="D4" s="87">
        <f>VLOOKUP(1,Valores_Representantes_HSP[],4,0)</f>
        <v>282.06169999999997</v>
      </c>
      <c r="E4" s="87">
        <f>VLOOKUP(1,Valores_Representantes_HSP[],5,0)</f>
        <v>282.06169999999997</v>
      </c>
      <c r="F4" s="87">
        <f>VLOOKUP(1,Valores_Representantes_HSP[],6,0)</f>
        <v>0</v>
      </c>
      <c r="G4" s="87">
        <f>VLOOKUP(1,Valores_Representantes_HSP[],7,0)</f>
        <v>376.08229999999998</v>
      </c>
      <c r="H4" s="87">
        <f>VLOOKUP(1,Valores_Representantes_HSP[],8,0)</f>
        <v>188.0412</v>
      </c>
      <c r="I4" s="87">
        <f>VLOOKUP(1,Valores_Representantes_HSP[],9,0)</f>
        <v>376.08229999999998</v>
      </c>
      <c r="J4" s="87">
        <f>VLOOKUP(1,Valores_Representantes_HSP[],10,0)</f>
        <v>376.08229999999998</v>
      </c>
      <c r="K4" s="87">
        <f>VLOOKUP(1,Valores_Representantes_HSP[],11,0)</f>
        <v>1128.2470000000001</v>
      </c>
      <c r="L4" s="87">
        <f>VLOOKUP(1,Valores_Representantes_HSP[],12,0)</f>
        <v>376.08229999999998</v>
      </c>
      <c r="M4" s="87">
        <f>VLOOKUP(1,Valores_Representantes_HSP[],13,0)</f>
        <v>376.08229999999998</v>
      </c>
    </row>
    <row r="5" spans="1:14" x14ac:dyDescent="0.25">
      <c r="A5" s="1" t="s">
        <v>55</v>
      </c>
      <c r="B5" s="1" t="s">
        <v>56</v>
      </c>
      <c r="C5" s="1" t="s">
        <v>73</v>
      </c>
      <c r="D5" s="1" t="s">
        <v>74</v>
      </c>
      <c r="E5" s="1" t="s">
        <v>75</v>
      </c>
      <c r="F5" s="1" t="s">
        <v>76</v>
      </c>
      <c r="G5" s="1" t="s">
        <v>77</v>
      </c>
      <c r="H5" s="1" t="s">
        <v>62</v>
      </c>
      <c r="I5" s="1" t="s">
        <v>63</v>
      </c>
      <c r="J5" s="1" t="s">
        <v>64</v>
      </c>
      <c r="K5" s="1" t="s">
        <v>65</v>
      </c>
      <c r="L5" s="1" t="s">
        <v>66</v>
      </c>
      <c r="M5" s="1" t="s">
        <v>67</v>
      </c>
      <c r="N5" s="1" t="s">
        <v>68</v>
      </c>
    </row>
    <row r="6" spans="1:14" x14ac:dyDescent="0.25">
      <c r="A6" s="50">
        <v>0.79500000000000004</v>
      </c>
      <c r="B6" s="52">
        <v>1504.3293000000001</v>
      </c>
      <c r="C6" s="52">
        <v>0</v>
      </c>
      <c r="D6" s="52">
        <v>112.82470000000001</v>
      </c>
      <c r="E6" s="52">
        <v>112.82470000000001</v>
      </c>
      <c r="F6" s="52">
        <v>0</v>
      </c>
      <c r="G6" s="52">
        <v>150.43289999999999</v>
      </c>
      <c r="H6" s="52">
        <v>75.216499999999996</v>
      </c>
      <c r="I6" s="52">
        <v>150.43289999999999</v>
      </c>
      <c r="J6" s="52">
        <v>150.43289999999999</v>
      </c>
      <c r="K6" s="52">
        <v>451.29880000000003</v>
      </c>
      <c r="L6" s="52">
        <v>150.43289999999999</v>
      </c>
      <c r="M6" s="52">
        <v>150.43289999999999</v>
      </c>
      <c r="N6" s="5" t="s">
        <v>69</v>
      </c>
    </row>
    <row r="7" spans="1:14" x14ac:dyDescent="0.25">
      <c r="A7" s="50">
        <v>0.79600000000000004</v>
      </c>
      <c r="B7" s="52">
        <v>1504.3293000000001</v>
      </c>
      <c r="C7" s="52">
        <v>0</v>
      </c>
      <c r="D7" s="52">
        <v>112.82470000000001</v>
      </c>
      <c r="E7" s="52">
        <v>112.82470000000001</v>
      </c>
      <c r="F7" s="52">
        <v>0</v>
      </c>
      <c r="G7" s="52">
        <v>150.43289999999999</v>
      </c>
      <c r="H7" s="52">
        <v>75.216499999999996</v>
      </c>
      <c r="I7" s="52">
        <v>150.43289999999999</v>
      </c>
      <c r="J7" s="52">
        <v>150.43289999999999</v>
      </c>
      <c r="K7" s="52">
        <v>451.29880000000003</v>
      </c>
      <c r="L7" s="52">
        <v>150.43289999999999</v>
      </c>
      <c r="M7" s="52">
        <v>150.43289999999999</v>
      </c>
      <c r="N7" s="5" t="s">
        <v>69</v>
      </c>
    </row>
    <row r="8" spans="1:14" x14ac:dyDescent="0.25">
      <c r="A8" s="50">
        <v>0.79700000000000004</v>
      </c>
      <c r="B8" s="52">
        <v>1504.3293000000001</v>
      </c>
      <c r="C8" s="52">
        <v>0</v>
      </c>
      <c r="D8" s="52">
        <v>112.82470000000001</v>
      </c>
      <c r="E8" s="52">
        <v>112.82470000000001</v>
      </c>
      <c r="F8" s="52">
        <v>0</v>
      </c>
      <c r="G8" s="52">
        <v>150.43289999999999</v>
      </c>
      <c r="H8" s="52">
        <v>75.216499999999996</v>
      </c>
      <c r="I8" s="52">
        <v>150.43289999999999</v>
      </c>
      <c r="J8" s="52">
        <v>150.43289999999999</v>
      </c>
      <c r="K8" s="52">
        <v>451.29880000000003</v>
      </c>
      <c r="L8" s="52">
        <v>150.43289999999999</v>
      </c>
      <c r="M8" s="52">
        <v>150.43289999999999</v>
      </c>
      <c r="N8" s="5" t="s">
        <v>69</v>
      </c>
    </row>
    <row r="9" spans="1:14" x14ac:dyDescent="0.25">
      <c r="A9" s="50">
        <v>0.79800000000000004</v>
      </c>
      <c r="B9" s="52">
        <v>1504.3293000000001</v>
      </c>
      <c r="C9" s="52">
        <v>0</v>
      </c>
      <c r="D9" s="52">
        <v>112.82470000000001</v>
      </c>
      <c r="E9" s="52">
        <v>112.82470000000001</v>
      </c>
      <c r="F9" s="52">
        <v>0</v>
      </c>
      <c r="G9" s="52">
        <v>150.43289999999999</v>
      </c>
      <c r="H9" s="52">
        <v>75.216499999999996</v>
      </c>
      <c r="I9" s="52">
        <v>150.43289999999999</v>
      </c>
      <c r="J9" s="52">
        <v>150.43289999999999</v>
      </c>
      <c r="K9" s="52">
        <v>451.29880000000003</v>
      </c>
      <c r="L9" s="52">
        <v>150.43289999999999</v>
      </c>
      <c r="M9" s="52">
        <v>150.43289999999999</v>
      </c>
      <c r="N9" s="5" t="s">
        <v>69</v>
      </c>
    </row>
    <row r="10" spans="1:14" x14ac:dyDescent="0.25">
      <c r="A10" s="50">
        <v>0.79900000000000004</v>
      </c>
      <c r="B10" s="52">
        <v>1504.3293000000001</v>
      </c>
      <c r="C10" s="52">
        <v>0</v>
      </c>
      <c r="D10" s="52">
        <v>112.82470000000001</v>
      </c>
      <c r="E10" s="52">
        <v>112.82470000000001</v>
      </c>
      <c r="F10" s="52">
        <v>0</v>
      </c>
      <c r="G10" s="52">
        <v>150.43289999999999</v>
      </c>
      <c r="H10" s="52">
        <v>75.216499999999996</v>
      </c>
      <c r="I10" s="52">
        <v>150.43289999999999</v>
      </c>
      <c r="J10" s="52">
        <v>150.43289999999999</v>
      </c>
      <c r="K10" s="52">
        <v>451.29880000000003</v>
      </c>
      <c r="L10" s="52">
        <v>150.43289999999999</v>
      </c>
      <c r="M10" s="52">
        <v>150.43289999999999</v>
      </c>
      <c r="N10" s="5" t="s">
        <v>69</v>
      </c>
    </row>
    <row r="11" spans="1:14" x14ac:dyDescent="0.25">
      <c r="A11" s="50">
        <v>0.8</v>
      </c>
      <c r="B11" s="52">
        <v>1504.3293000000001</v>
      </c>
      <c r="C11" s="52">
        <v>0</v>
      </c>
      <c r="D11" s="52">
        <v>112.82470000000001</v>
      </c>
      <c r="E11" s="52">
        <v>112.82470000000001</v>
      </c>
      <c r="F11" s="52">
        <v>0</v>
      </c>
      <c r="G11" s="52">
        <v>150.43289999999999</v>
      </c>
      <c r="H11" s="52">
        <v>75.216499999999996</v>
      </c>
      <c r="I11" s="52">
        <v>150.43289999999999</v>
      </c>
      <c r="J11" s="52">
        <v>150.43289999999999</v>
      </c>
      <c r="K11" s="52">
        <v>451.29880000000003</v>
      </c>
      <c r="L11" s="52">
        <v>150.43289999999999</v>
      </c>
      <c r="M11" s="52">
        <v>150.43289999999999</v>
      </c>
      <c r="N11" s="5" t="s">
        <v>69</v>
      </c>
    </row>
    <row r="12" spans="1:14" x14ac:dyDescent="0.25">
      <c r="A12" s="50">
        <v>0.80100000000000005</v>
      </c>
      <c r="B12" s="52">
        <v>1506.2097000000001</v>
      </c>
      <c r="C12" s="52">
        <v>0</v>
      </c>
      <c r="D12" s="52">
        <v>112.9657</v>
      </c>
      <c r="E12" s="52">
        <v>112.9657</v>
      </c>
      <c r="F12" s="52">
        <v>0</v>
      </c>
      <c r="G12" s="52">
        <v>150.62100000000001</v>
      </c>
      <c r="H12" s="52">
        <v>75.310500000000005</v>
      </c>
      <c r="I12" s="52">
        <v>150.62100000000001</v>
      </c>
      <c r="J12" s="52">
        <v>150.62100000000001</v>
      </c>
      <c r="K12" s="52">
        <v>451.86290000000002</v>
      </c>
      <c r="L12" s="52">
        <v>150.62100000000001</v>
      </c>
      <c r="M12" s="52">
        <v>150.62100000000001</v>
      </c>
      <c r="N12" s="5" t="s">
        <v>69</v>
      </c>
    </row>
    <row r="13" spans="1:14" x14ac:dyDescent="0.25">
      <c r="A13" s="50">
        <v>0.80200000000000005</v>
      </c>
      <c r="B13" s="52">
        <v>1508.0902000000001</v>
      </c>
      <c r="C13" s="52">
        <v>0</v>
      </c>
      <c r="D13" s="52">
        <v>113.10680000000001</v>
      </c>
      <c r="E13" s="52">
        <v>113.10680000000001</v>
      </c>
      <c r="F13" s="52">
        <v>0</v>
      </c>
      <c r="G13" s="52">
        <v>150.809</v>
      </c>
      <c r="H13" s="52">
        <v>75.404499999999999</v>
      </c>
      <c r="I13" s="52">
        <v>150.809</v>
      </c>
      <c r="J13" s="52">
        <v>150.809</v>
      </c>
      <c r="K13" s="52">
        <v>452.42700000000002</v>
      </c>
      <c r="L13" s="52">
        <v>150.809</v>
      </c>
      <c r="M13" s="52">
        <v>150.809</v>
      </c>
      <c r="N13" s="5" t="s">
        <v>69</v>
      </c>
    </row>
    <row r="14" spans="1:14" x14ac:dyDescent="0.25">
      <c r="A14" s="50">
        <v>0.80300000000000005</v>
      </c>
      <c r="B14" s="52">
        <v>1509.9706000000001</v>
      </c>
      <c r="C14" s="52">
        <v>0</v>
      </c>
      <c r="D14" s="52">
        <v>113.2478</v>
      </c>
      <c r="E14" s="52">
        <v>113.2478</v>
      </c>
      <c r="F14" s="52">
        <v>0</v>
      </c>
      <c r="G14" s="52">
        <v>150.99709999999999</v>
      </c>
      <c r="H14" s="52">
        <v>75.498500000000007</v>
      </c>
      <c r="I14" s="52">
        <v>150.99709999999999</v>
      </c>
      <c r="J14" s="52">
        <v>150.99709999999999</v>
      </c>
      <c r="K14" s="52">
        <v>452.99119999999999</v>
      </c>
      <c r="L14" s="52">
        <v>150.99709999999999</v>
      </c>
      <c r="M14" s="52">
        <v>150.99709999999999</v>
      </c>
      <c r="N14" s="5" t="s">
        <v>69</v>
      </c>
    </row>
    <row r="15" spans="1:14" x14ac:dyDescent="0.25">
      <c r="A15" s="50">
        <v>0.80400000000000005</v>
      </c>
      <c r="B15" s="52">
        <v>1511.8510000000001</v>
      </c>
      <c r="C15" s="52">
        <v>0</v>
      </c>
      <c r="D15" s="52">
        <v>113.3888</v>
      </c>
      <c r="E15" s="52">
        <v>113.3888</v>
      </c>
      <c r="F15" s="52">
        <v>0</v>
      </c>
      <c r="G15" s="52">
        <v>151.18510000000001</v>
      </c>
      <c r="H15" s="52">
        <v>75.592500000000001</v>
      </c>
      <c r="I15" s="52">
        <v>151.18510000000001</v>
      </c>
      <c r="J15" s="52">
        <v>151.18510000000001</v>
      </c>
      <c r="K15" s="52">
        <v>453.55529999999999</v>
      </c>
      <c r="L15" s="52">
        <v>151.18510000000001</v>
      </c>
      <c r="M15" s="52">
        <v>151.18510000000001</v>
      </c>
      <c r="N15" s="5" t="s">
        <v>69</v>
      </c>
    </row>
    <row r="16" spans="1:14" x14ac:dyDescent="0.25">
      <c r="A16" s="50">
        <v>0.80500000000000005</v>
      </c>
      <c r="B16" s="52">
        <v>1513.7313999999999</v>
      </c>
      <c r="C16" s="52">
        <v>0</v>
      </c>
      <c r="D16" s="52">
        <v>113.5299</v>
      </c>
      <c r="E16" s="52">
        <v>113.5299</v>
      </c>
      <c r="F16" s="52">
        <v>0</v>
      </c>
      <c r="G16" s="52">
        <v>151.37309999999999</v>
      </c>
      <c r="H16" s="52">
        <v>75.686599999999999</v>
      </c>
      <c r="I16" s="52">
        <v>151.37309999999999</v>
      </c>
      <c r="J16" s="52">
        <v>151.37309999999999</v>
      </c>
      <c r="K16" s="52">
        <v>454.11939999999998</v>
      </c>
      <c r="L16" s="52">
        <v>151.37309999999999</v>
      </c>
      <c r="M16" s="52">
        <v>151.37309999999999</v>
      </c>
      <c r="N16" s="5" t="s">
        <v>69</v>
      </c>
    </row>
    <row r="17" spans="1:14" x14ac:dyDescent="0.25">
      <c r="A17" s="50">
        <v>0.80600000000000005</v>
      </c>
      <c r="B17" s="52">
        <v>1515.6117999999999</v>
      </c>
      <c r="C17" s="52">
        <v>0</v>
      </c>
      <c r="D17" s="52">
        <v>113.6709</v>
      </c>
      <c r="E17" s="52">
        <v>113.6709</v>
      </c>
      <c r="F17" s="52">
        <v>0</v>
      </c>
      <c r="G17" s="52">
        <v>151.56120000000001</v>
      </c>
      <c r="H17" s="52">
        <v>75.780600000000007</v>
      </c>
      <c r="I17" s="52">
        <v>151.56120000000001</v>
      </c>
      <c r="J17" s="52">
        <v>151.56120000000001</v>
      </c>
      <c r="K17" s="52">
        <v>454.68349999999998</v>
      </c>
      <c r="L17" s="52">
        <v>151.56120000000001</v>
      </c>
      <c r="M17" s="52">
        <v>151.56120000000001</v>
      </c>
      <c r="N17" s="5" t="s">
        <v>69</v>
      </c>
    </row>
    <row r="18" spans="1:14" x14ac:dyDescent="0.25">
      <c r="A18" s="50">
        <v>0.80700000000000005</v>
      </c>
      <c r="B18" s="52">
        <v>1517.4921999999999</v>
      </c>
      <c r="C18" s="52">
        <v>0</v>
      </c>
      <c r="D18" s="52">
        <v>113.81189999999999</v>
      </c>
      <c r="E18" s="52">
        <v>113.81189999999999</v>
      </c>
      <c r="F18" s="52">
        <v>0</v>
      </c>
      <c r="G18" s="52">
        <v>151.7492</v>
      </c>
      <c r="H18" s="52">
        <v>75.874600000000001</v>
      </c>
      <c r="I18" s="52">
        <v>151.7492</v>
      </c>
      <c r="J18" s="52">
        <v>151.7492</v>
      </c>
      <c r="K18" s="52">
        <v>455.24770000000001</v>
      </c>
      <c r="L18" s="52">
        <v>151.7492</v>
      </c>
      <c r="M18" s="52">
        <v>151.7492</v>
      </c>
      <c r="N18" s="5" t="s">
        <v>69</v>
      </c>
    </row>
    <row r="19" spans="1:14" x14ac:dyDescent="0.25">
      <c r="A19" s="50">
        <v>0.80800000000000005</v>
      </c>
      <c r="B19" s="52">
        <v>1519.3725999999999</v>
      </c>
      <c r="C19" s="52">
        <v>0</v>
      </c>
      <c r="D19" s="52">
        <v>113.9529</v>
      </c>
      <c r="E19" s="52">
        <v>113.9529</v>
      </c>
      <c r="F19" s="52">
        <v>0</v>
      </c>
      <c r="G19" s="52">
        <v>151.93729999999999</v>
      </c>
      <c r="H19" s="52">
        <v>75.968599999999995</v>
      </c>
      <c r="I19" s="52">
        <v>151.93729999999999</v>
      </c>
      <c r="J19" s="52">
        <v>151.93729999999999</v>
      </c>
      <c r="K19" s="52">
        <v>455.81180000000001</v>
      </c>
      <c r="L19" s="52">
        <v>151.93729999999999</v>
      </c>
      <c r="M19" s="52">
        <v>151.93729999999999</v>
      </c>
      <c r="N19" s="5" t="s">
        <v>69</v>
      </c>
    </row>
    <row r="20" spans="1:14" x14ac:dyDescent="0.25">
      <c r="A20" s="50">
        <v>0.80900000000000005</v>
      </c>
      <c r="B20" s="52">
        <v>1521.2529999999999</v>
      </c>
      <c r="C20" s="52">
        <v>0</v>
      </c>
      <c r="D20" s="52">
        <v>114.09399999999999</v>
      </c>
      <c r="E20" s="52">
        <v>114.09399999999999</v>
      </c>
      <c r="F20" s="52">
        <v>0</v>
      </c>
      <c r="G20" s="52">
        <v>152.12530000000001</v>
      </c>
      <c r="H20" s="52">
        <v>76.062700000000007</v>
      </c>
      <c r="I20" s="52">
        <v>152.12530000000001</v>
      </c>
      <c r="J20" s="52">
        <v>152.12530000000001</v>
      </c>
      <c r="K20" s="52">
        <v>456.3759</v>
      </c>
      <c r="L20" s="52">
        <v>152.12530000000001</v>
      </c>
      <c r="M20" s="52">
        <v>152.12530000000001</v>
      </c>
      <c r="N20" s="5" t="s">
        <v>69</v>
      </c>
    </row>
    <row r="21" spans="1:14" x14ac:dyDescent="0.25">
      <c r="A21" s="50">
        <v>0.81</v>
      </c>
      <c r="B21" s="52">
        <v>1523.1333999999999</v>
      </c>
      <c r="C21" s="52">
        <v>0</v>
      </c>
      <c r="D21" s="52">
        <v>114.235</v>
      </c>
      <c r="E21" s="52">
        <v>114.235</v>
      </c>
      <c r="F21" s="52">
        <v>0</v>
      </c>
      <c r="G21" s="52">
        <v>152.3133</v>
      </c>
      <c r="H21" s="52">
        <v>76.156700000000001</v>
      </c>
      <c r="I21" s="52">
        <v>152.3133</v>
      </c>
      <c r="J21" s="52">
        <v>152.3133</v>
      </c>
      <c r="K21" s="52">
        <v>456.94</v>
      </c>
      <c r="L21" s="52">
        <v>152.3133</v>
      </c>
      <c r="M21" s="52">
        <v>152.3133</v>
      </c>
      <c r="N21" s="5" t="s">
        <v>69</v>
      </c>
    </row>
    <row r="22" spans="1:14" x14ac:dyDescent="0.25">
      <c r="A22" s="50">
        <v>0.81100000000000005</v>
      </c>
      <c r="B22" s="52">
        <v>1525.0138999999999</v>
      </c>
      <c r="C22" s="52">
        <v>0</v>
      </c>
      <c r="D22" s="52">
        <v>114.376</v>
      </c>
      <c r="E22" s="52">
        <v>114.376</v>
      </c>
      <c r="F22" s="52">
        <v>0</v>
      </c>
      <c r="G22" s="52">
        <v>152.50139999999999</v>
      </c>
      <c r="H22" s="52">
        <v>76.250699999999995</v>
      </c>
      <c r="I22" s="52">
        <v>152.50139999999999</v>
      </c>
      <c r="J22" s="52">
        <v>152.50139999999999</v>
      </c>
      <c r="K22" s="52">
        <v>457.50420000000003</v>
      </c>
      <c r="L22" s="52">
        <v>152.50139999999999</v>
      </c>
      <c r="M22" s="52">
        <v>152.50139999999999</v>
      </c>
      <c r="N22" s="5" t="s">
        <v>69</v>
      </c>
    </row>
    <row r="23" spans="1:14" x14ac:dyDescent="0.25">
      <c r="A23" s="50">
        <v>0.81200000000000006</v>
      </c>
      <c r="B23" s="52">
        <v>1526.8942999999999</v>
      </c>
      <c r="C23" s="52">
        <v>0</v>
      </c>
      <c r="D23" s="52">
        <v>114.5171</v>
      </c>
      <c r="E23" s="52">
        <v>114.5171</v>
      </c>
      <c r="F23" s="52">
        <v>0</v>
      </c>
      <c r="G23" s="52">
        <v>152.68940000000001</v>
      </c>
      <c r="H23" s="52">
        <v>76.344700000000003</v>
      </c>
      <c r="I23" s="52">
        <v>152.68940000000001</v>
      </c>
      <c r="J23" s="52">
        <v>152.68940000000001</v>
      </c>
      <c r="K23" s="52">
        <v>458.06830000000002</v>
      </c>
      <c r="L23" s="52">
        <v>152.68940000000001</v>
      </c>
      <c r="M23" s="52">
        <v>152.68940000000001</v>
      </c>
      <c r="N23" s="5" t="s">
        <v>69</v>
      </c>
    </row>
    <row r="24" spans="1:14" x14ac:dyDescent="0.25">
      <c r="A24" s="50">
        <v>0.81299999999999994</v>
      </c>
      <c r="B24" s="52">
        <v>1528.7746999999999</v>
      </c>
      <c r="C24" s="52">
        <v>0</v>
      </c>
      <c r="D24" s="52">
        <v>114.6581</v>
      </c>
      <c r="E24" s="52">
        <v>114.6581</v>
      </c>
      <c r="F24" s="52">
        <v>0</v>
      </c>
      <c r="G24" s="52">
        <v>152.8775</v>
      </c>
      <c r="H24" s="52">
        <v>76.438699999999997</v>
      </c>
      <c r="I24" s="52">
        <v>152.8775</v>
      </c>
      <c r="J24" s="52">
        <v>152.8775</v>
      </c>
      <c r="K24" s="52">
        <v>458.63240000000002</v>
      </c>
      <c r="L24" s="52">
        <v>152.8775</v>
      </c>
      <c r="M24" s="52">
        <v>152.8775</v>
      </c>
      <c r="N24" s="5" t="s">
        <v>69</v>
      </c>
    </row>
    <row r="25" spans="1:14" x14ac:dyDescent="0.25">
      <c r="A25" s="50">
        <v>0.81399999999999995</v>
      </c>
      <c r="B25" s="52">
        <v>1530.6550999999999</v>
      </c>
      <c r="C25" s="52">
        <v>0</v>
      </c>
      <c r="D25" s="52">
        <v>114.7991</v>
      </c>
      <c r="E25" s="52">
        <v>114.7991</v>
      </c>
      <c r="F25" s="52">
        <v>0</v>
      </c>
      <c r="G25" s="52">
        <v>153.06549999999999</v>
      </c>
      <c r="H25" s="52">
        <v>76.532799999999995</v>
      </c>
      <c r="I25" s="52">
        <v>153.06549999999999</v>
      </c>
      <c r="J25" s="52">
        <v>153.06549999999999</v>
      </c>
      <c r="K25" s="52">
        <v>459.19650000000001</v>
      </c>
      <c r="L25" s="52">
        <v>153.06549999999999</v>
      </c>
      <c r="M25" s="52">
        <v>153.06549999999999</v>
      </c>
      <c r="N25" s="5" t="s">
        <v>69</v>
      </c>
    </row>
    <row r="26" spans="1:14" x14ac:dyDescent="0.25">
      <c r="A26" s="50">
        <v>0.81499999999999995</v>
      </c>
      <c r="B26" s="52">
        <v>1532.5355</v>
      </c>
      <c r="C26" s="52">
        <v>0</v>
      </c>
      <c r="D26" s="52">
        <v>114.9402</v>
      </c>
      <c r="E26" s="52">
        <v>114.9402</v>
      </c>
      <c r="F26" s="52">
        <v>0</v>
      </c>
      <c r="G26" s="52">
        <v>153.25360000000001</v>
      </c>
      <c r="H26" s="52">
        <v>76.626800000000003</v>
      </c>
      <c r="I26" s="52">
        <v>153.25360000000001</v>
      </c>
      <c r="J26" s="52">
        <v>153.25360000000001</v>
      </c>
      <c r="K26" s="52">
        <v>459.76069999999999</v>
      </c>
      <c r="L26" s="52">
        <v>153.25360000000001</v>
      </c>
      <c r="M26" s="52">
        <v>153.25360000000001</v>
      </c>
      <c r="N26" s="5" t="s">
        <v>69</v>
      </c>
    </row>
    <row r="27" spans="1:14" x14ac:dyDescent="0.25">
      <c r="A27" s="50">
        <v>0.81599999999999995</v>
      </c>
      <c r="B27" s="52">
        <v>1534.4159</v>
      </c>
      <c r="C27" s="52">
        <v>0</v>
      </c>
      <c r="D27" s="52">
        <v>115.0812</v>
      </c>
      <c r="E27" s="52">
        <v>115.0812</v>
      </c>
      <c r="F27" s="52">
        <v>0</v>
      </c>
      <c r="G27" s="52">
        <v>153.44159999999999</v>
      </c>
      <c r="H27" s="52">
        <v>76.720799999999997</v>
      </c>
      <c r="I27" s="52">
        <v>153.44159999999999</v>
      </c>
      <c r="J27" s="52">
        <v>153.44159999999999</v>
      </c>
      <c r="K27" s="52">
        <v>460.32479999999998</v>
      </c>
      <c r="L27" s="52">
        <v>153.44159999999999</v>
      </c>
      <c r="M27" s="52">
        <v>153.44159999999999</v>
      </c>
      <c r="N27" s="5" t="s">
        <v>69</v>
      </c>
    </row>
    <row r="28" spans="1:14" x14ac:dyDescent="0.25">
      <c r="A28" s="50">
        <v>0.81699999999999995</v>
      </c>
      <c r="B28" s="52">
        <v>1536.2963</v>
      </c>
      <c r="C28" s="52">
        <v>0</v>
      </c>
      <c r="D28" s="52">
        <v>115.2222</v>
      </c>
      <c r="E28" s="52">
        <v>115.2222</v>
      </c>
      <c r="F28" s="52">
        <v>0</v>
      </c>
      <c r="G28" s="52">
        <v>153.62960000000001</v>
      </c>
      <c r="H28" s="52">
        <v>76.814800000000005</v>
      </c>
      <c r="I28" s="52">
        <v>153.62960000000001</v>
      </c>
      <c r="J28" s="52">
        <v>153.62960000000001</v>
      </c>
      <c r="K28" s="52">
        <v>460.88889999999998</v>
      </c>
      <c r="L28" s="52">
        <v>153.62960000000001</v>
      </c>
      <c r="M28" s="52">
        <v>153.62960000000001</v>
      </c>
      <c r="N28" s="5" t="s">
        <v>69</v>
      </c>
    </row>
    <row r="29" spans="1:14" x14ac:dyDescent="0.25">
      <c r="A29" s="50">
        <v>0.81799999999999995</v>
      </c>
      <c r="B29" s="52">
        <v>1538.1767</v>
      </c>
      <c r="C29" s="52">
        <v>0</v>
      </c>
      <c r="D29" s="52">
        <v>115.3633</v>
      </c>
      <c r="E29" s="52">
        <v>115.3633</v>
      </c>
      <c r="F29" s="52">
        <v>0</v>
      </c>
      <c r="G29" s="52">
        <v>153.8177</v>
      </c>
      <c r="H29" s="52">
        <v>76.908799999999999</v>
      </c>
      <c r="I29" s="52">
        <v>153.8177</v>
      </c>
      <c r="J29" s="52">
        <v>153.8177</v>
      </c>
      <c r="K29" s="52">
        <v>461.45299999999997</v>
      </c>
      <c r="L29" s="52">
        <v>153.8177</v>
      </c>
      <c r="M29" s="52">
        <v>153.8177</v>
      </c>
      <c r="N29" s="5" t="s">
        <v>69</v>
      </c>
    </row>
    <row r="30" spans="1:14" x14ac:dyDescent="0.25">
      <c r="A30" s="50">
        <v>0.81899999999999995</v>
      </c>
      <c r="B30" s="52">
        <v>1540.0572</v>
      </c>
      <c r="C30" s="52">
        <v>0</v>
      </c>
      <c r="D30" s="52">
        <v>115.5043</v>
      </c>
      <c r="E30" s="52">
        <v>115.5043</v>
      </c>
      <c r="F30" s="52">
        <v>0</v>
      </c>
      <c r="G30" s="52">
        <v>154.00569999999999</v>
      </c>
      <c r="H30" s="52">
        <v>77.002899999999997</v>
      </c>
      <c r="I30" s="52">
        <v>154.00569999999999</v>
      </c>
      <c r="J30" s="52">
        <v>154.00569999999999</v>
      </c>
      <c r="K30" s="52">
        <v>462.01710000000003</v>
      </c>
      <c r="L30" s="52">
        <v>154.00569999999999</v>
      </c>
      <c r="M30" s="52">
        <v>154.00569999999999</v>
      </c>
      <c r="N30" s="5" t="s">
        <v>69</v>
      </c>
    </row>
    <row r="31" spans="1:14" x14ac:dyDescent="0.25">
      <c r="A31" s="50">
        <v>0.82</v>
      </c>
      <c r="B31" s="52">
        <v>1541.9376</v>
      </c>
      <c r="C31" s="52">
        <v>0</v>
      </c>
      <c r="D31" s="52">
        <v>115.64530000000001</v>
      </c>
      <c r="E31" s="52">
        <v>115.64530000000001</v>
      </c>
      <c r="F31" s="52">
        <v>0</v>
      </c>
      <c r="G31" s="52">
        <v>154.19380000000001</v>
      </c>
      <c r="H31" s="52">
        <v>77.096900000000005</v>
      </c>
      <c r="I31" s="52">
        <v>154.19380000000001</v>
      </c>
      <c r="J31" s="52">
        <v>154.19380000000001</v>
      </c>
      <c r="K31" s="52">
        <v>462.5813</v>
      </c>
      <c r="L31" s="52">
        <v>154.19380000000001</v>
      </c>
      <c r="M31" s="52">
        <v>154.19380000000001</v>
      </c>
      <c r="N31" s="5" t="s">
        <v>69</v>
      </c>
    </row>
    <row r="32" spans="1:14" x14ac:dyDescent="0.25">
      <c r="A32" s="50">
        <v>0.82099999999999995</v>
      </c>
      <c r="B32" s="52">
        <v>1543.818</v>
      </c>
      <c r="C32" s="52">
        <v>0</v>
      </c>
      <c r="D32" s="52">
        <v>115.7863</v>
      </c>
      <c r="E32" s="52">
        <v>115.7863</v>
      </c>
      <c r="F32" s="52">
        <v>0</v>
      </c>
      <c r="G32" s="52">
        <v>154.3818</v>
      </c>
      <c r="H32" s="52">
        <v>77.190899999999999</v>
      </c>
      <c r="I32" s="52">
        <v>154.3818</v>
      </c>
      <c r="J32" s="52">
        <v>154.3818</v>
      </c>
      <c r="K32" s="52">
        <v>463.1454</v>
      </c>
      <c r="L32" s="52">
        <v>154.3818</v>
      </c>
      <c r="M32" s="52">
        <v>154.3818</v>
      </c>
      <c r="N32" s="5" t="s">
        <v>69</v>
      </c>
    </row>
    <row r="33" spans="1:14" x14ac:dyDescent="0.25">
      <c r="A33" s="50">
        <v>0.82199999999999995</v>
      </c>
      <c r="B33" s="52">
        <v>1545.6984</v>
      </c>
      <c r="C33" s="52">
        <v>0</v>
      </c>
      <c r="D33" s="52">
        <v>115.92740000000001</v>
      </c>
      <c r="E33" s="52">
        <v>115.92740000000001</v>
      </c>
      <c r="F33" s="52">
        <v>0</v>
      </c>
      <c r="G33" s="52">
        <v>154.56979999999999</v>
      </c>
      <c r="H33" s="52">
        <v>77.284899999999993</v>
      </c>
      <c r="I33" s="52">
        <v>154.56979999999999</v>
      </c>
      <c r="J33" s="52">
        <v>154.56979999999999</v>
      </c>
      <c r="K33" s="52">
        <v>463.70949999999999</v>
      </c>
      <c r="L33" s="52">
        <v>154.56979999999999</v>
      </c>
      <c r="M33" s="52">
        <v>154.56979999999999</v>
      </c>
      <c r="N33" s="5" t="s">
        <v>69</v>
      </c>
    </row>
    <row r="34" spans="1:14" x14ac:dyDescent="0.25">
      <c r="A34" s="50">
        <v>0.82299999999999995</v>
      </c>
      <c r="B34" s="52">
        <v>1547.5788</v>
      </c>
      <c r="C34" s="52">
        <v>0</v>
      </c>
      <c r="D34" s="52">
        <v>116.0684</v>
      </c>
      <c r="E34" s="52">
        <v>116.0684</v>
      </c>
      <c r="F34" s="52">
        <v>0</v>
      </c>
      <c r="G34" s="52">
        <v>154.75790000000001</v>
      </c>
      <c r="H34" s="52">
        <v>77.378900000000002</v>
      </c>
      <c r="I34" s="52">
        <v>154.75790000000001</v>
      </c>
      <c r="J34" s="52">
        <v>154.75790000000001</v>
      </c>
      <c r="K34" s="52">
        <v>464.27359999999999</v>
      </c>
      <c r="L34" s="52">
        <v>154.75790000000001</v>
      </c>
      <c r="M34" s="52">
        <v>154.75790000000001</v>
      </c>
      <c r="N34" s="5" t="s">
        <v>69</v>
      </c>
    </row>
    <row r="35" spans="1:14" x14ac:dyDescent="0.25">
      <c r="A35" s="50">
        <v>0.82399999999999995</v>
      </c>
      <c r="B35" s="52">
        <v>1549.4592</v>
      </c>
      <c r="C35" s="52">
        <v>0</v>
      </c>
      <c r="D35" s="52">
        <v>116.2094</v>
      </c>
      <c r="E35" s="52">
        <v>116.2094</v>
      </c>
      <c r="F35" s="52">
        <v>0</v>
      </c>
      <c r="G35" s="52">
        <v>154.94589999999999</v>
      </c>
      <c r="H35" s="52">
        <v>77.472999999999999</v>
      </c>
      <c r="I35" s="52">
        <v>154.94589999999999</v>
      </c>
      <c r="J35" s="52">
        <v>154.94589999999999</v>
      </c>
      <c r="K35" s="52">
        <v>464.83780000000002</v>
      </c>
      <c r="L35" s="52">
        <v>154.94589999999999</v>
      </c>
      <c r="M35" s="52">
        <v>154.94589999999999</v>
      </c>
      <c r="N35" s="5" t="s">
        <v>69</v>
      </c>
    </row>
    <row r="36" spans="1:14" x14ac:dyDescent="0.25">
      <c r="A36" s="50">
        <v>0.82499999999999996</v>
      </c>
      <c r="B36" s="52">
        <v>1551.3396</v>
      </c>
      <c r="C36" s="52">
        <v>0</v>
      </c>
      <c r="D36" s="52">
        <v>116.3505</v>
      </c>
      <c r="E36" s="52">
        <v>116.3505</v>
      </c>
      <c r="F36" s="52">
        <v>0</v>
      </c>
      <c r="G36" s="52">
        <v>155.13399999999999</v>
      </c>
      <c r="H36" s="52">
        <v>77.566999999999993</v>
      </c>
      <c r="I36" s="52">
        <v>155.13399999999999</v>
      </c>
      <c r="J36" s="52">
        <v>155.13399999999999</v>
      </c>
      <c r="K36" s="52">
        <v>465.40190000000001</v>
      </c>
      <c r="L36" s="52">
        <v>155.13399999999999</v>
      </c>
      <c r="M36" s="52">
        <v>155.13399999999999</v>
      </c>
      <c r="N36" s="5" t="s">
        <v>69</v>
      </c>
    </row>
    <row r="37" spans="1:14" x14ac:dyDescent="0.25">
      <c r="A37" s="50">
        <v>0.82599999999999996</v>
      </c>
      <c r="B37" s="52">
        <v>1553.22</v>
      </c>
      <c r="C37" s="52">
        <v>0</v>
      </c>
      <c r="D37" s="52">
        <v>116.4915</v>
      </c>
      <c r="E37" s="52">
        <v>116.4915</v>
      </c>
      <c r="F37" s="52">
        <v>0</v>
      </c>
      <c r="G37" s="52">
        <v>155.322</v>
      </c>
      <c r="H37" s="52">
        <v>77.661000000000001</v>
      </c>
      <c r="I37" s="52">
        <v>155.322</v>
      </c>
      <c r="J37" s="52">
        <v>155.322</v>
      </c>
      <c r="K37" s="52">
        <v>465.96600000000001</v>
      </c>
      <c r="L37" s="52">
        <v>155.322</v>
      </c>
      <c r="M37" s="52">
        <v>155.322</v>
      </c>
      <c r="N37" s="5" t="s">
        <v>69</v>
      </c>
    </row>
    <row r="38" spans="1:14" x14ac:dyDescent="0.25">
      <c r="A38" s="50">
        <v>0.82699999999999996</v>
      </c>
      <c r="B38" s="52">
        <v>1555.1004</v>
      </c>
      <c r="C38" s="52">
        <v>0</v>
      </c>
      <c r="D38" s="52">
        <v>116.63249999999999</v>
      </c>
      <c r="E38" s="52">
        <v>116.63249999999999</v>
      </c>
      <c r="F38" s="52">
        <v>0</v>
      </c>
      <c r="G38" s="52">
        <v>155.51</v>
      </c>
      <c r="H38" s="52">
        <v>77.754999999999995</v>
      </c>
      <c r="I38" s="52">
        <v>155.51</v>
      </c>
      <c r="J38" s="52">
        <v>155.51</v>
      </c>
      <c r="K38" s="52">
        <v>466.5301</v>
      </c>
      <c r="L38" s="52">
        <v>155.51</v>
      </c>
      <c r="M38" s="52">
        <v>155.51</v>
      </c>
      <c r="N38" s="5" t="s">
        <v>69</v>
      </c>
    </row>
    <row r="39" spans="1:14" x14ac:dyDescent="0.25">
      <c r="A39" s="50">
        <v>0.82799999999999996</v>
      </c>
      <c r="B39" s="52">
        <v>1556.9809</v>
      </c>
      <c r="C39" s="52">
        <v>0</v>
      </c>
      <c r="D39" s="52">
        <v>116.7736</v>
      </c>
      <c r="E39" s="52">
        <v>116.7736</v>
      </c>
      <c r="F39" s="52">
        <v>0</v>
      </c>
      <c r="G39" s="52">
        <v>155.69810000000001</v>
      </c>
      <c r="H39" s="52">
        <v>77.849000000000004</v>
      </c>
      <c r="I39" s="52">
        <v>155.69810000000001</v>
      </c>
      <c r="J39" s="52">
        <v>155.69810000000001</v>
      </c>
      <c r="K39" s="52">
        <v>467.09429999999998</v>
      </c>
      <c r="L39" s="52">
        <v>155.69810000000001</v>
      </c>
      <c r="M39" s="52">
        <v>155.69810000000001</v>
      </c>
      <c r="N39" s="5" t="s">
        <v>69</v>
      </c>
    </row>
    <row r="40" spans="1:14" x14ac:dyDescent="0.25">
      <c r="A40" s="50">
        <v>0.82899999999999996</v>
      </c>
      <c r="B40" s="52">
        <v>1558.8613</v>
      </c>
      <c r="C40" s="52">
        <v>0</v>
      </c>
      <c r="D40" s="52">
        <v>116.91459999999999</v>
      </c>
      <c r="E40" s="52">
        <v>116.91459999999999</v>
      </c>
      <c r="F40" s="52">
        <v>0</v>
      </c>
      <c r="G40" s="52">
        <v>155.8861</v>
      </c>
      <c r="H40" s="52">
        <v>77.943100000000001</v>
      </c>
      <c r="I40" s="52">
        <v>155.8861</v>
      </c>
      <c r="J40" s="52">
        <v>155.8861</v>
      </c>
      <c r="K40" s="52">
        <v>467.65839999999997</v>
      </c>
      <c r="L40" s="52">
        <v>155.8861</v>
      </c>
      <c r="M40" s="52">
        <v>155.8861</v>
      </c>
      <c r="N40" s="5" t="s">
        <v>69</v>
      </c>
    </row>
    <row r="41" spans="1:14" x14ac:dyDescent="0.25">
      <c r="A41" s="50">
        <v>0.83</v>
      </c>
      <c r="B41" s="52">
        <v>1560.7417</v>
      </c>
      <c r="C41" s="52">
        <v>0</v>
      </c>
      <c r="D41" s="52">
        <v>117.0556</v>
      </c>
      <c r="E41" s="52">
        <v>117.0556</v>
      </c>
      <c r="F41" s="52">
        <v>0</v>
      </c>
      <c r="G41" s="52">
        <v>156.07419999999999</v>
      </c>
      <c r="H41" s="52">
        <v>78.037099999999995</v>
      </c>
      <c r="I41" s="52">
        <v>156.07419999999999</v>
      </c>
      <c r="J41" s="52">
        <v>156.07419999999999</v>
      </c>
      <c r="K41" s="52">
        <v>468.22250000000003</v>
      </c>
      <c r="L41" s="52">
        <v>156.07419999999999</v>
      </c>
      <c r="M41" s="52">
        <v>156.07419999999999</v>
      </c>
      <c r="N41" s="5" t="s">
        <v>69</v>
      </c>
    </row>
    <row r="42" spans="1:14" x14ac:dyDescent="0.25">
      <c r="A42" s="50">
        <v>0.83099999999999996</v>
      </c>
      <c r="B42" s="52">
        <v>1562.6221</v>
      </c>
      <c r="C42" s="52">
        <v>0</v>
      </c>
      <c r="D42" s="52">
        <v>117.19670000000001</v>
      </c>
      <c r="E42" s="52">
        <v>117.19670000000001</v>
      </c>
      <c r="F42" s="52">
        <v>0</v>
      </c>
      <c r="G42" s="52">
        <v>156.26220000000001</v>
      </c>
      <c r="H42" s="52">
        <v>78.131100000000004</v>
      </c>
      <c r="I42" s="52">
        <v>156.26220000000001</v>
      </c>
      <c r="J42" s="52">
        <v>156.26220000000001</v>
      </c>
      <c r="K42" s="52">
        <v>468.78660000000002</v>
      </c>
      <c r="L42" s="52">
        <v>156.26220000000001</v>
      </c>
      <c r="M42" s="52">
        <v>156.26220000000001</v>
      </c>
      <c r="N42" s="5" t="s">
        <v>69</v>
      </c>
    </row>
    <row r="43" spans="1:14" x14ac:dyDescent="0.25">
      <c r="A43" s="50">
        <v>0.83199999999999996</v>
      </c>
      <c r="B43" s="52">
        <v>1564.5025000000001</v>
      </c>
      <c r="C43" s="52">
        <v>0</v>
      </c>
      <c r="D43" s="52">
        <v>117.3377</v>
      </c>
      <c r="E43" s="52">
        <v>117.3377</v>
      </c>
      <c r="F43" s="52">
        <v>0</v>
      </c>
      <c r="G43" s="52">
        <v>156.4503</v>
      </c>
      <c r="H43" s="52">
        <v>78.225099999999998</v>
      </c>
      <c r="I43" s="52">
        <v>156.4503</v>
      </c>
      <c r="J43" s="52">
        <v>156.4503</v>
      </c>
      <c r="K43" s="52">
        <v>469.35079999999999</v>
      </c>
      <c r="L43" s="52">
        <v>156.4503</v>
      </c>
      <c r="M43" s="52">
        <v>156.4503</v>
      </c>
      <c r="N43" s="5" t="s">
        <v>69</v>
      </c>
    </row>
    <row r="44" spans="1:14" x14ac:dyDescent="0.25">
      <c r="A44" s="50">
        <v>0.83299999999999996</v>
      </c>
      <c r="B44" s="52">
        <v>1566.3829000000001</v>
      </c>
      <c r="C44" s="52">
        <v>0</v>
      </c>
      <c r="D44" s="52">
        <v>117.4787</v>
      </c>
      <c r="E44" s="52">
        <v>117.4787</v>
      </c>
      <c r="F44" s="52">
        <v>0</v>
      </c>
      <c r="G44" s="52">
        <v>156.63829999999999</v>
      </c>
      <c r="H44" s="52">
        <v>78.319100000000006</v>
      </c>
      <c r="I44" s="52">
        <v>156.63829999999999</v>
      </c>
      <c r="J44" s="52">
        <v>156.63829999999999</v>
      </c>
      <c r="K44" s="52">
        <v>469.91489999999999</v>
      </c>
      <c r="L44" s="52">
        <v>156.63829999999999</v>
      </c>
      <c r="M44" s="52">
        <v>156.63829999999999</v>
      </c>
      <c r="N44" s="5" t="s">
        <v>69</v>
      </c>
    </row>
    <row r="45" spans="1:14" x14ac:dyDescent="0.25">
      <c r="A45" s="50">
        <v>0.83399999999999996</v>
      </c>
      <c r="B45" s="52">
        <v>1568.2633000000001</v>
      </c>
      <c r="C45" s="52">
        <v>0</v>
      </c>
      <c r="D45" s="52">
        <v>117.61969999999999</v>
      </c>
      <c r="E45" s="52">
        <v>117.61969999999999</v>
      </c>
      <c r="F45" s="52">
        <v>0</v>
      </c>
      <c r="G45" s="52">
        <v>156.8263</v>
      </c>
      <c r="H45" s="52">
        <v>78.413200000000003</v>
      </c>
      <c r="I45" s="52">
        <v>156.8263</v>
      </c>
      <c r="J45" s="52">
        <v>156.8263</v>
      </c>
      <c r="K45" s="52">
        <v>470.47899999999998</v>
      </c>
      <c r="L45" s="52">
        <v>156.8263</v>
      </c>
      <c r="M45" s="52">
        <v>156.8263</v>
      </c>
      <c r="N45" s="5" t="s">
        <v>69</v>
      </c>
    </row>
    <row r="46" spans="1:14" x14ac:dyDescent="0.25">
      <c r="A46" s="50">
        <v>0.83499999999999996</v>
      </c>
      <c r="B46" s="52">
        <v>1570.1437000000001</v>
      </c>
      <c r="C46" s="52">
        <v>0</v>
      </c>
      <c r="D46" s="52">
        <v>117.7608</v>
      </c>
      <c r="E46" s="52">
        <v>117.7608</v>
      </c>
      <c r="F46" s="52">
        <v>0</v>
      </c>
      <c r="G46" s="52">
        <v>157.01439999999999</v>
      </c>
      <c r="H46" s="52">
        <v>78.507199999999997</v>
      </c>
      <c r="I46" s="52">
        <v>157.01439999999999</v>
      </c>
      <c r="J46" s="52">
        <v>157.01439999999999</v>
      </c>
      <c r="K46" s="52">
        <v>471.04309999999998</v>
      </c>
      <c r="L46" s="52">
        <v>157.01439999999999</v>
      </c>
      <c r="M46" s="52">
        <v>157.01439999999999</v>
      </c>
      <c r="N46" s="5" t="s">
        <v>69</v>
      </c>
    </row>
    <row r="47" spans="1:14" x14ac:dyDescent="0.25">
      <c r="A47" s="50">
        <v>0.83599999999999997</v>
      </c>
      <c r="B47" s="52">
        <v>1572.0242000000001</v>
      </c>
      <c r="C47" s="52">
        <v>0</v>
      </c>
      <c r="D47" s="52">
        <v>117.90179999999999</v>
      </c>
      <c r="E47" s="52">
        <v>117.90179999999999</v>
      </c>
      <c r="F47" s="52">
        <v>0</v>
      </c>
      <c r="G47" s="52">
        <v>157.20240000000001</v>
      </c>
      <c r="H47" s="52">
        <v>78.601200000000006</v>
      </c>
      <c r="I47" s="52">
        <v>157.20240000000001</v>
      </c>
      <c r="J47" s="52">
        <v>157.20240000000001</v>
      </c>
      <c r="K47" s="52">
        <v>471.60719999999998</v>
      </c>
      <c r="L47" s="52">
        <v>157.20240000000001</v>
      </c>
      <c r="M47" s="52">
        <v>157.20240000000001</v>
      </c>
      <c r="N47" s="5" t="s">
        <v>69</v>
      </c>
    </row>
    <row r="48" spans="1:14" x14ac:dyDescent="0.25">
      <c r="A48" s="50">
        <v>0.83699999999999997</v>
      </c>
      <c r="B48" s="52">
        <v>1573.9046000000001</v>
      </c>
      <c r="C48" s="52">
        <v>0</v>
      </c>
      <c r="D48" s="52">
        <v>118.0428</v>
      </c>
      <c r="E48" s="52">
        <v>118.0428</v>
      </c>
      <c r="F48" s="52">
        <v>0</v>
      </c>
      <c r="G48" s="52">
        <v>157.3905</v>
      </c>
      <c r="H48" s="52">
        <v>78.6952</v>
      </c>
      <c r="I48" s="52">
        <v>157.3905</v>
      </c>
      <c r="J48" s="52">
        <v>157.3905</v>
      </c>
      <c r="K48" s="52">
        <v>472.17140000000001</v>
      </c>
      <c r="L48" s="52">
        <v>157.3905</v>
      </c>
      <c r="M48" s="52">
        <v>157.3905</v>
      </c>
      <c r="N48" s="5" t="s">
        <v>69</v>
      </c>
    </row>
    <row r="49" spans="1:14" x14ac:dyDescent="0.25">
      <c r="A49" s="50">
        <v>0.83799999999999997</v>
      </c>
      <c r="B49" s="52">
        <v>1575.7850000000001</v>
      </c>
      <c r="C49" s="52">
        <v>0</v>
      </c>
      <c r="D49" s="52">
        <v>118.18389999999999</v>
      </c>
      <c r="E49" s="52">
        <v>118.18389999999999</v>
      </c>
      <c r="F49" s="52">
        <v>0</v>
      </c>
      <c r="G49" s="52">
        <v>157.57849999999999</v>
      </c>
      <c r="H49" s="52">
        <v>78.789199999999994</v>
      </c>
      <c r="I49" s="52">
        <v>157.57849999999999</v>
      </c>
      <c r="J49" s="52">
        <v>157.57849999999999</v>
      </c>
      <c r="K49" s="52">
        <v>472.7355</v>
      </c>
      <c r="L49" s="52">
        <v>157.57849999999999</v>
      </c>
      <c r="M49" s="52">
        <v>157.57849999999999</v>
      </c>
      <c r="N49" s="5" t="s">
        <v>69</v>
      </c>
    </row>
    <row r="50" spans="1:14" x14ac:dyDescent="0.25">
      <c r="A50" s="50">
        <v>0.83899999999999997</v>
      </c>
      <c r="B50" s="52">
        <v>1577.6654000000001</v>
      </c>
      <c r="C50" s="52">
        <v>0</v>
      </c>
      <c r="D50" s="52">
        <v>118.3249</v>
      </c>
      <c r="E50" s="52">
        <v>118.3249</v>
      </c>
      <c r="F50" s="52">
        <v>0</v>
      </c>
      <c r="G50" s="52">
        <v>157.76650000000001</v>
      </c>
      <c r="H50" s="52">
        <v>78.883300000000006</v>
      </c>
      <c r="I50" s="52">
        <v>157.76650000000001</v>
      </c>
      <c r="J50" s="52">
        <v>157.76650000000001</v>
      </c>
      <c r="K50" s="52">
        <v>473.2996</v>
      </c>
      <c r="L50" s="52">
        <v>157.76650000000001</v>
      </c>
      <c r="M50" s="52">
        <v>157.76650000000001</v>
      </c>
      <c r="N50" s="5" t="s">
        <v>69</v>
      </c>
    </row>
    <row r="51" spans="1:14" x14ac:dyDescent="0.25">
      <c r="A51" s="50">
        <v>0.84</v>
      </c>
      <c r="B51" s="52">
        <v>1579.5458000000001</v>
      </c>
      <c r="C51" s="52">
        <v>0</v>
      </c>
      <c r="D51" s="52">
        <v>118.4659</v>
      </c>
      <c r="E51" s="52">
        <v>118.4659</v>
      </c>
      <c r="F51" s="52">
        <v>0</v>
      </c>
      <c r="G51" s="52">
        <v>157.9546</v>
      </c>
      <c r="H51" s="52">
        <v>78.9773</v>
      </c>
      <c r="I51" s="52">
        <v>157.9546</v>
      </c>
      <c r="J51" s="52">
        <v>157.9546</v>
      </c>
      <c r="K51" s="52">
        <v>473.86369999999999</v>
      </c>
      <c r="L51" s="52">
        <v>157.9546</v>
      </c>
      <c r="M51" s="52">
        <v>157.9546</v>
      </c>
      <c r="N51" s="5" t="s">
        <v>69</v>
      </c>
    </row>
    <row r="52" spans="1:14" x14ac:dyDescent="0.25">
      <c r="A52" s="50">
        <v>0.84099999999999997</v>
      </c>
      <c r="B52" s="52">
        <v>1581.4262000000001</v>
      </c>
      <c r="C52" s="52">
        <v>0</v>
      </c>
      <c r="D52" s="52">
        <v>118.607</v>
      </c>
      <c r="E52" s="52">
        <v>118.607</v>
      </c>
      <c r="F52" s="52">
        <v>0</v>
      </c>
      <c r="G52" s="52">
        <v>158.14259999999999</v>
      </c>
      <c r="H52" s="52">
        <v>79.071299999999994</v>
      </c>
      <c r="I52" s="52">
        <v>158.14259999999999</v>
      </c>
      <c r="J52" s="52">
        <v>158.14259999999999</v>
      </c>
      <c r="K52" s="52">
        <v>474.42790000000002</v>
      </c>
      <c r="L52" s="52">
        <v>158.14259999999999</v>
      </c>
      <c r="M52" s="52">
        <v>158.14259999999999</v>
      </c>
      <c r="N52" s="5" t="s">
        <v>69</v>
      </c>
    </row>
    <row r="53" spans="1:14" x14ac:dyDescent="0.25">
      <c r="A53" s="50">
        <v>0.84199999999999997</v>
      </c>
      <c r="B53" s="52">
        <v>1583.3065999999999</v>
      </c>
      <c r="C53" s="52">
        <v>0</v>
      </c>
      <c r="D53" s="52">
        <v>118.748</v>
      </c>
      <c r="E53" s="52">
        <v>118.748</v>
      </c>
      <c r="F53" s="52">
        <v>0</v>
      </c>
      <c r="G53" s="52">
        <v>158.33070000000001</v>
      </c>
      <c r="H53" s="52">
        <v>79.165300000000002</v>
      </c>
      <c r="I53" s="52">
        <v>158.33070000000001</v>
      </c>
      <c r="J53" s="52">
        <v>158.33070000000001</v>
      </c>
      <c r="K53" s="52">
        <v>474.99200000000002</v>
      </c>
      <c r="L53" s="52">
        <v>158.33070000000001</v>
      </c>
      <c r="M53" s="52">
        <v>158.33070000000001</v>
      </c>
      <c r="N53" s="5" t="s">
        <v>69</v>
      </c>
    </row>
    <row r="54" spans="1:14" x14ac:dyDescent="0.25">
      <c r="A54" s="50">
        <v>0.84299999999999997</v>
      </c>
      <c r="B54" s="52">
        <v>1585.1869999999999</v>
      </c>
      <c r="C54" s="52">
        <v>0</v>
      </c>
      <c r="D54" s="52">
        <v>118.889</v>
      </c>
      <c r="E54" s="52">
        <v>118.889</v>
      </c>
      <c r="F54" s="52">
        <v>0</v>
      </c>
      <c r="G54" s="52">
        <v>158.5187</v>
      </c>
      <c r="H54" s="52">
        <v>79.259399999999999</v>
      </c>
      <c r="I54" s="52">
        <v>158.5187</v>
      </c>
      <c r="J54" s="52">
        <v>158.5187</v>
      </c>
      <c r="K54" s="52">
        <v>475.55610000000001</v>
      </c>
      <c r="L54" s="52">
        <v>158.5187</v>
      </c>
      <c r="M54" s="52">
        <v>158.5187</v>
      </c>
      <c r="N54" s="5" t="s">
        <v>69</v>
      </c>
    </row>
    <row r="55" spans="1:14" x14ac:dyDescent="0.25">
      <c r="A55" s="50">
        <v>0.84399999999999997</v>
      </c>
      <c r="B55" s="52">
        <v>1587.0673999999999</v>
      </c>
      <c r="C55" s="52">
        <v>0</v>
      </c>
      <c r="D55" s="52">
        <v>119.0301</v>
      </c>
      <c r="E55" s="52">
        <v>119.0301</v>
      </c>
      <c r="F55" s="52">
        <v>0</v>
      </c>
      <c r="G55" s="52">
        <v>158.70670000000001</v>
      </c>
      <c r="H55" s="52">
        <v>79.353399999999993</v>
      </c>
      <c r="I55" s="52">
        <v>158.70670000000001</v>
      </c>
      <c r="J55" s="52">
        <v>158.70670000000001</v>
      </c>
      <c r="K55" s="52">
        <v>476.12020000000001</v>
      </c>
      <c r="L55" s="52">
        <v>158.70670000000001</v>
      </c>
      <c r="M55" s="52">
        <v>158.70670000000001</v>
      </c>
      <c r="N55" s="5" t="s">
        <v>69</v>
      </c>
    </row>
    <row r="56" spans="1:14" x14ac:dyDescent="0.25">
      <c r="A56" s="50">
        <v>0.84499999999999997</v>
      </c>
      <c r="B56" s="52">
        <v>1588.9478999999999</v>
      </c>
      <c r="C56" s="52">
        <v>0</v>
      </c>
      <c r="D56" s="52">
        <v>119.1711</v>
      </c>
      <c r="E56" s="52">
        <v>119.1711</v>
      </c>
      <c r="F56" s="52">
        <v>0</v>
      </c>
      <c r="G56" s="52">
        <v>158.8948</v>
      </c>
      <c r="H56" s="52">
        <v>79.447400000000002</v>
      </c>
      <c r="I56" s="52">
        <v>158.8948</v>
      </c>
      <c r="J56" s="52">
        <v>158.8948</v>
      </c>
      <c r="K56" s="52">
        <v>476.68439999999998</v>
      </c>
      <c r="L56" s="52">
        <v>158.8948</v>
      </c>
      <c r="M56" s="52">
        <v>158.8948</v>
      </c>
      <c r="N56" s="5" t="s">
        <v>69</v>
      </c>
    </row>
    <row r="57" spans="1:14" x14ac:dyDescent="0.25">
      <c r="A57" s="50">
        <v>0.84599999999999997</v>
      </c>
      <c r="B57" s="52">
        <v>1590.8282999999999</v>
      </c>
      <c r="C57" s="52">
        <v>0</v>
      </c>
      <c r="D57" s="52">
        <v>119.3121</v>
      </c>
      <c r="E57" s="52">
        <v>119.3121</v>
      </c>
      <c r="F57" s="52">
        <v>0</v>
      </c>
      <c r="G57" s="52">
        <v>159.08279999999999</v>
      </c>
      <c r="H57" s="52">
        <v>79.541399999999996</v>
      </c>
      <c r="I57" s="52">
        <v>159.08279999999999</v>
      </c>
      <c r="J57" s="52">
        <v>159.08279999999999</v>
      </c>
      <c r="K57" s="52">
        <v>477.24849999999998</v>
      </c>
      <c r="L57" s="52">
        <v>159.08279999999999</v>
      </c>
      <c r="M57" s="52">
        <v>159.08279999999999</v>
      </c>
      <c r="N57" s="5" t="s">
        <v>69</v>
      </c>
    </row>
    <row r="58" spans="1:14" x14ac:dyDescent="0.25">
      <c r="A58" s="50">
        <v>0.84699999999999998</v>
      </c>
      <c r="B58" s="52">
        <v>1592.7086999999999</v>
      </c>
      <c r="C58" s="52">
        <v>0</v>
      </c>
      <c r="D58" s="52">
        <v>119.4532</v>
      </c>
      <c r="E58" s="52">
        <v>119.4532</v>
      </c>
      <c r="F58" s="52">
        <v>0</v>
      </c>
      <c r="G58" s="52">
        <v>159.27090000000001</v>
      </c>
      <c r="H58" s="52">
        <v>79.635400000000004</v>
      </c>
      <c r="I58" s="52">
        <v>159.27090000000001</v>
      </c>
      <c r="J58" s="52">
        <v>159.27090000000001</v>
      </c>
      <c r="K58" s="52">
        <v>477.81259999999997</v>
      </c>
      <c r="L58" s="52">
        <v>159.27090000000001</v>
      </c>
      <c r="M58" s="52">
        <v>159.27090000000001</v>
      </c>
      <c r="N58" s="5" t="s">
        <v>69</v>
      </c>
    </row>
    <row r="59" spans="1:14" x14ac:dyDescent="0.25">
      <c r="A59" s="50">
        <v>0.84799999999999998</v>
      </c>
      <c r="B59" s="52">
        <v>1594.5890999999999</v>
      </c>
      <c r="C59" s="52">
        <v>0</v>
      </c>
      <c r="D59" s="52">
        <v>119.5942</v>
      </c>
      <c r="E59" s="52">
        <v>119.5942</v>
      </c>
      <c r="F59" s="52">
        <v>0</v>
      </c>
      <c r="G59" s="52">
        <v>159.4589</v>
      </c>
      <c r="H59" s="52">
        <v>79.729500000000002</v>
      </c>
      <c r="I59" s="52">
        <v>159.4589</v>
      </c>
      <c r="J59" s="52">
        <v>159.4589</v>
      </c>
      <c r="K59" s="52">
        <v>478.37670000000003</v>
      </c>
      <c r="L59" s="52">
        <v>159.4589</v>
      </c>
      <c r="M59" s="52">
        <v>159.4589</v>
      </c>
      <c r="N59" s="5" t="s">
        <v>69</v>
      </c>
    </row>
    <row r="60" spans="1:14" x14ac:dyDescent="0.25">
      <c r="A60" s="50">
        <v>0.84899999999999998</v>
      </c>
      <c r="B60" s="52">
        <v>1596.4694999999999</v>
      </c>
      <c r="C60" s="52">
        <v>0</v>
      </c>
      <c r="D60" s="52">
        <v>119.73520000000001</v>
      </c>
      <c r="E60" s="52">
        <v>119.73520000000001</v>
      </c>
      <c r="F60" s="52">
        <v>0</v>
      </c>
      <c r="G60" s="52">
        <v>159.64699999999999</v>
      </c>
      <c r="H60" s="52">
        <v>79.823499999999996</v>
      </c>
      <c r="I60" s="52">
        <v>159.64699999999999</v>
      </c>
      <c r="J60" s="52">
        <v>159.64699999999999</v>
      </c>
      <c r="K60" s="52">
        <v>478.9409</v>
      </c>
      <c r="L60" s="52">
        <v>159.64699999999999</v>
      </c>
      <c r="M60" s="52">
        <v>159.64699999999999</v>
      </c>
      <c r="N60" s="5" t="s">
        <v>69</v>
      </c>
    </row>
    <row r="61" spans="1:14" x14ac:dyDescent="0.25">
      <c r="A61" s="50">
        <v>0.85</v>
      </c>
      <c r="B61" s="52">
        <v>1598.3498999999999</v>
      </c>
      <c r="C61" s="52">
        <v>0</v>
      </c>
      <c r="D61" s="52">
        <v>119.8762</v>
      </c>
      <c r="E61" s="52">
        <v>119.8762</v>
      </c>
      <c r="F61" s="52">
        <v>0</v>
      </c>
      <c r="G61" s="52">
        <v>159.83500000000001</v>
      </c>
      <c r="H61" s="52">
        <v>79.917500000000004</v>
      </c>
      <c r="I61" s="52">
        <v>159.83500000000001</v>
      </c>
      <c r="J61" s="52">
        <v>159.83500000000001</v>
      </c>
      <c r="K61" s="52">
        <v>479.505</v>
      </c>
      <c r="L61" s="52">
        <v>159.83500000000001</v>
      </c>
      <c r="M61" s="52">
        <v>159.83500000000001</v>
      </c>
      <c r="N61" s="5" t="s">
        <v>69</v>
      </c>
    </row>
    <row r="62" spans="1:14" x14ac:dyDescent="0.25">
      <c r="A62" s="50">
        <v>0.85099999999999998</v>
      </c>
      <c r="B62" s="52">
        <v>1600.2302999999999</v>
      </c>
      <c r="C62" s="52">
        <v>0</v>
      </c>
      <c r="D62" s="52">
        <v>120.01730000000001</v>
      </c>
      <c r="E62" s="52">
        <v>120.01730000000001</v>
      </c>
      <c r="F62" s="52">
        <v>0</v>
      </c>
      <c r="G62" s="52">
        <v>160.023</v>
      </c>
      <c r="H62" s="52">
        <v>80.011499999999998</v>
      </c>
      <c r="I62" s="52">
        <v>160.023</v>
      </c>
      <c r="J62" s="52">
        <v>160.023</v>
      </c>
      <c r="K62" s="52">
        <v>480.06909999999999</v>
      </c>
      <c r="L62" s="52">
        <v>160.023</v>
      </c>
      <c r="M62" s="52">
        <v>160.023</v>
      </c>
      <c r="N62" s="5" t="s">
        <v>69</v>
      </c>
    </row>
    <row r="63" spans="1:14" x14ac:dyDescent="0.25">
      <c r="A63" s="50">
        <v>0.85199999999999998</v>
      </c>
      <c r="B63" s="52">
        <v>1602.1107</v>
      </c>
      <c r="C63" s="52">
        <v>0</v>
      </c>
      <c r="D63" s="52">
        <v>120.1583</v>
      </c>
      <c r="E63" s="52">
        <v>120.1583</v>
      </c>
      <c r="F63" s="52">
        <v>0</v>
      </c>
      <c r="G63" s="52">
        <v>160.21109999999999</v>
      </c>
      <c r="H63" s="52">
        <v>80.105500000000006</v>
      </c>
      <c r="I63" s="52">
        <v>160.21109999999999</v>
      </c>
      <c r="J63" s="52">
        <v>160.21109999999999</v>
      </c>
      <c r="K63" s="52">
        <v>480.63319999999999</v>
      </c>
      <c r="L63" s="52">
        <v>160.21109999999999</v>
      </c>
      <c r="M63" s="52">
        <v>160.21109999999999</v>
      </c>
      <c r="N63" s="5" t="s">
        <v>69</v>
      </c>
    </row>
    <row r="64" spans="1:14" x14ac:dyDescent="0.25">
      <c r="A64" s="50">
        <v>0.85299999999999998</v>
      </c>
      <c r="B64" s="52">
        <v>1603.9911</v>
      </c>
      <c r="C64" s="52">
        <v>0</v>
      </c>
      <c r="D64" s="52">
        <v>120.2993</v>
      </c>
      <c r="E64" s="52">
        <v>120.2993</v>
      </c>
      <c r="F64" s="52">
        <v>0</v>
      </c>
      <c r="G64" s="52">
        <v>160.3991</v>
      </c>
      <c r="H64" s="52">
        <v>80.199600000000004</v>
      </c>
      <c r="I64" s="52">
        <v>160.3991</v>
      </c>
      <c r="J64" s="52">
        <v>160.3991</v>
      </c>
      <c r="K64" s="52">
        <v>481.19729999999998</v>
      </c>
      <c r="L64" s="52">
        <v>160.3991</v>
      </c>
      <c r="M64" s="52">
        <v>160.3991</v>
      </c>
      <c r="N64" s="5" t="s">
        <v>69</v>
      </c>
    </row>
    <row r="65" spans="1:14" x14ac:dyDescent="0.25">
      <c r="A65" s="50">
        <v>0.85399999999999998</v>
      </c>
      <c r="B65" s="52">
        <v>1605.8715999999999</v>
      </c>
      <c r="C65" s="52">
        <v>0</v>
      </c>
      <c r="D65" s="52">
        <v>120.4404</v>
      </c>
      <c r="E65" s="52">
        <v>120.4404</v>
      </c>
      <c r="F65" s="52">
        <v>0</v>
      </c>
      <c r="G65" s="52">
        <v>160.5872</v>
      </c>
      <c r="H65" s="52">
        <v>80.293599999999998</v>
      </c>
      <c r="I65" s="52">
        <v>160.5872</v>
      </c>
      <c r="J65" s="52">
        <v>160.5872</v>
      </c>
      <c r="K65" s="52">
        <v>481.76150000000001</v>
      </c>
      <c r="L65" s="52">
        <v>160.5872</v>
      </c>
      <c r="M65" s="52">
        <v>160.5872</v>
      </c>
      <c r="N65" s="5" t="s">
        <v>69</v>
      </c>
    </row>
    <row r="66" spans="1:14" x14ac:dyDescent="0.25">
      <c r="A66" s="50">
        <v>0.85499999999999998</v>
      </c>
      <c r="B66" s="52">
        <v>1607.752</v>
      </c>
      <c r="C66" s="52">
        <v>0</v>
      </c>
      <c r="D66" s="52">
        <v>120.5814</v>
      </c>
      <c r="E66" s="52">
        <v>120.5814</v>
      </c>
      <c r="F66" s="52">
        <v>0</v>
      </c>
      <c r="G66" s="52">
        <v>160.77520000000001</v>
      </c>
      <c r="H66" s="52">
        <v>80.387600000000006</v>
      </c>
      <c r="I66" s="52">
        <v>160.77520000000001</v>
      </c>
      <c r="J66" s="52">
        <v>160.77520000000001</v>
      </c>
      <c r="K66" s="52">
        <v>482.32560000000001</v>
      </c>
      <c r="L66" s="52">
        <v>160.77520000000001</v>
      </c>
      <c r="M66" s="52">
        <v>160.77520000000001</v>
      </c>
      <c r="N66" s="5" t="s">
        <v>69</v>
      </c>
    </row>
    <row r="67" spans="1:14" x14ac:dyDescent="0.25">
      <c r="A67" s="50">
        <v>0.85599999999999998</v>
      </c>
      <c r="B67" s="52">
        <v>1609.6324</v>
      </c>
      <c r="C67" s="52">
        <v>0</v>
      </c>
      <c r="D67" s="52">
        <v>120.72239999999999</v>
      </c>
      <c r="E67" s="52">
        <v>120.72239999999999</v>
      </c>
      <c r="F67" s="52">
        <v>0</v>
      </c>
      <c r="G67" s="52">
        <v>160.9632</v>
      </c>
      <c r="H67" s="52">
        <v>80.4816</v>
      </c>
      <c r="I67" s="52">
        <v>160.9632</v>
      </c>
      <c r="J67" s="52">
        <v>160.9632</v>
      </c>
      <c r="K67" s="52">
        <v>482.8897</v>
      </c>
      <c r="L67" s="52">
        <v>160.9632</v>
      </c>
      <c r="M67" s="52">
        <v>160.9632</v>
      </c>
      <c r="N67" s="5" t="s">
        <v>69</v>
      </c>
    </row>
    <row r="68" spans="1:14" x14ac:dyDescent="0.25">
      <c r="A68" s="50">
        <v>0.85699999999999998</v>
      </c>
      <c r="B68" s="52">
        <v>1611.5128</v>
      </c>
      <c r="C68" s="52">
        <v>0</v>
      </c>
      <c r="D68" s="52">
        <v>120.8635</v>
      </c>
      <c r="E68" s="52">
        <v>120.8635</v>
      </c>
      <c r="F68" s="52">
        <v>0</v>
      </c>
      <c r="G68" s="52">
        <v>161.15129999999999</v>
      </c>
      <c r="H68" s="52">
        <v>80.575599999999994</v>
      </c>
      <c r="I68" s="52">
        <v>161.15129999999999</v>
      </c>
      <c r="J68" s="52">
        <v>161.15129999999999</v>
      </c>
      <c r="K68" s="52">
        <v>483.4538</v>
      </c>
      <c r="L68" s="52">
        <v>161.15129999999999</v>
      </c>
      <c r="M68" s="52">
        <v>161.15129999999999</v>
      </c>
      <c r="N68" s="5" t="s">
        <v>69</v>
      </c>
    </row>
    <row r="69" spans="1:14" x14ac:dyDescent="0.25">
      <c r="A69" s="50">
        <v>0.85799999999999998</v>
      </c>
      <c r="B69" s="52">
        <v>1613.3932</v>
      </c>
      <c r="C69" s="52">
        <v>0</v>
      </c>
      <c r="D69" s="52">
        <v>121.00449999999999</v>
      </c>
      <c r="E69" s="52">
        <v>121.00449999999999</v>
      </c>
      <c r="F69" s="52">
        <v>0</v>
      </c>
      <c r="G69" s="52">
        <v>161.33930000000001</v>
      </c>
      <c r="H69" s="52">
        <v>80.669700000000006</v>
      </c>
      <c r="I69" s="52">
        <v>161.33930000000001</v>
      </c>
      <c r="J69" s="52">
        <v>161.33930000000001</v>
      </c>
      <c r="K69" s="52">
        <v>484.01799999999997</v>
      </c>
      <c r="L69" s="52">
        <v>161.33930000000001</v>
      </c>
      <c r="M69" s="52">
        <v>161.33930000000001</v>
      </c>
      <c r="N69" s="5" t="s">
        <v>69</v>
      </c>
    </row>
    <row r="70" spans="1:14" x14ac:dyDescent="0.25">
      <c r="A70" s="50">
        <v>0.85899999999999999</v>
      </c>
      <c r="B70" s="52">
        <v>1615.2736</v>
      </c>
      <c r="C70" s="52">
        <v>0</v>
      </c>
      <c r="D70" s="52">
        <v>121.1455</v>
      </c>
      <c r="E70" s="52">
        <v>121.1455</v>
      </c>
      <c r="F70" s="52">
        <v>0</v>
      </c>
      <c r="G70" s="52">
        <v>161.5274</v>
      </c>
      <c r="H70" s="52">
        <v>80.7637</v>
      </c>
      <c r="I70" s="52">
        <v>161.5274</v>
      </c>
      <c r="J70" s="52">
        <v>161.5274</v>
      </c>
      <c r="K70" s="52">
        <v>484.58210000000003</v>
      </c>
      <c r="L70" s="52">
        <v>161.5274</v>
      </c>
      <c r="M70" s="52">
        <v>161.5274</v>
      </c>
      <c r="N70" s="5" t="s">
        <v>69</v>
      </c>
    </row>
    <row r="71" spans="1:14" x14ac:dyDescent="0.25">
      <c r="A71" s="50">
        <v>0.86</v>
      </c>
      <c r="B71" s="52">
        <v>1617.154</v>
      </c>
      <c r="C71" s="52">
        <v>0</v>
      </c>
      <c r="D71" s="52">
        <v>121.28660000000001</v>
      </c>
      <c r="E71" s="52">
        <v>121.28660000000001</v>
      </c>
      <c r="F71" s="52">
        <v>0</v>
      </c>
      <c r="G71" s="52">
        <v>161.71539999999999</v>
      </c>
      <c r="H71" s="52">
        <v>80.857699999999994</v>
      </c>
      <c r="I71" s="52">
        <v>161.71539999999999</v>
      </c>
      <c r="J71" s="52">
        <v>161.71539999999999</v>
      </c>
      <c r="K71" s="52">
        <v>485.14620000000002</v>
      </c>
      <c r="L71" s="52">
        <v>161.71539999999999</v>
      </c>
      <c r="M71" s="52">
        <v>161.71539999999999</v>
      </c>
      <c r="N71" s="5" t="s">
        <v>69</v>
      </c>
    </row>
    <row r="72" spans="1:14" x14ac:dyDescent="0.25">
      <c r="A72" s="50">
        <v>0.86099999999999999</v>
      </c>
      <c r="B72" s="52">
        <v>1619.0344</v>
      </c>
      <c r="C72" s="52">
        <v>0</v>
      </c>
      <c r="D72" s="52">
        <v>121.4276</v>
      </c>
      <c r="E72" s="52">
        <v>121.4276</v>
      </c>
      <c r="F72" s="52">
        <v>0</v>
      </c>
      <c r="G72" s="52">
        <v>161.9034</v>
      </c>
      <c r="H72" s="52">
        <v>80.951700000000002</v>
      </c>
      <c r="I72" s="52">
        <v>161.9034</v>
      </c>
      <c r="J72" s="52">
        <v>161.9034</v>
      </c>
      <c r="K72" s="52">
        <v>485.71030000000002</v>
      </c>
      <c r="L72" s="52">
        <v>161.9034</v>
      </c>
      <c r="M72" s="52">
        <v>161.9034</v>
      </c>
      <c r="N72" s="5" t="s">
        <v>69</v>
      </c>
    </row>
    <row r="73" spans="1:14" x14ac:dyDescent="0.25">
      <c r="A73" s="50">
        <v>0.86199999999999999</v>
      </c>
      <c r="B73" s="52">
        <v>1620.9149</v>
      </c>
      <c r="C73" s="52">
        <v>0</v>
      </c>
      <c r="D73" s="52">
        <v>121.5686</v>
      </c>
      <c r="E73" s="52">
        <v>121.5686</v>
      </c>
      <c r="F73" s="52">
        <v>0</v>
      </c>
      <c r="G73" s="52">
        <v>162.0915</v>
      </c>
      <c r="H73" s="52">
        <v>81.045699999999997</v>
      </c>
      <c r="I73" s="52">
        <v>162.0915</v>
      </c>
      <c r="J73" s="52">
        <v>162.0915</v>
      </c>
      <c r="K73" s="52">
        <v>486.27449999999999</v>
      </c>
      <c r="L73" s="52">
        <v>162.0915</v>
      </c>
      <c r="M73" s="52">
        <v>162.0915</v>
      </c>
      <c r="N73" s="5" t="s">
        <v>69</v>
      </c>
    </row>
    <row r="74" spans="1:14" x14ac:dyDescent="0.25">
      <c r="A74" s="50">
        <v>0.86299999999999999</v>
      </c>
      <c r="B74" s="52">
        <v>1622.7953</v>
      </c>
      <c r="C74" s="52">
        <v>0</v>
      </c>
      <c r="D74" s="52">
        <v>121.70959999999999</v>
      </c>
      <c r="E74" s="52">
        <v>121.70959999999999</v>
      </c>
      <c r="F74" s="52">
        <v>0</v>
      </c>
      <c r="G74" s="52">
        <v>162.27950000000001</v>
      </c>
      <c r="H74" s="52">
        <v>81.139799999999994</v>
      </c>
      <c r="I74" s="52">
        <v>162.27950000000001</v>
      </c>
      <c r="J74" s="52">
        <v>162.27950000000001</v>
      </c>
      <c r="K74" s="52">
        <v>486.83859999999999</v>
      </c>
      <c r="L74" s="52">
        <v>162.27950000000001</v>
      </c>
      <c r="M74" s="52">
        <v>162.27950000000001</v>
      </c>
      <c r="N74" s="5" t="s">
        <v>69</v>
      </c>
    </row>
    <row r="75" spans="1:14" x14ac:dyDescent="0.25">
      <c r="A75" s="50">
        <v>0.86399999999999999</v>
      </c>
      <c r="B75" s="52">
        <v>1624.6757</v>
      </c>
      <c r="C75" s="52">
        <v>0</v>
      </c>
      <c r="D75" s="52">
        <v>121.8507</v>
      </c>
      <c r="E75" s="52">
        <v>121.8507</v>
      </c>
      <c r="F75" s="52">
        <v>0</v>
      </c>
      <c r="G75" s="52">
        <v>162.4676</v>
      </c>
      <c r="H75" s="52">
        <v>81.233800000000002</v>
      </c>
      <c r="I75" s="52">
        <v>162.4676</v>
      </c>
      <c r="J75" s="52">
        <v>162.4676</v>
      </c>
      <c r="K75" s="52">
        <v>487.40269999999998</v>
      </c>
      <c r="L75" s="52">
        <v>162.4676</v>
      </c>
      <c r="M75" s="52">
        <v>162.4676</v>
      </c>
      <c r="N75" s="5" t="s">
        <v>69</v>
      </c>
    </row>
    <row r="76" spans="1:14" x14ac:dyDescent="0.25">
      <c r="A76" s="50">
        <v>0.86499999999999999</v>
      </c>
      <c r="B76" s="52">
        <v>1626.5561</v>
      </c>
      <c r="C76" s="52">
        <v>0</v>
      </c>
      <c r="D76" s="52">
        <v>121.99169999999999</v>
      </c>
      <c r="E76" s="52">
        <v>121.99169999999999</v>
      </c>
      <c r="F76" s="52">
        <v>0</v>
      </c>
      <c r="G76" s="52">
        <v>162.65559999999999</v>
      </c>
      <c r="H76" s="52">
        <v>81.327799999999996</v>
      </c>
      <c r="I76" s="52">
        <v>162.65559999999999</v>
      </c>
      <c r="J76" s="52">
        <v>162.65559999999999</v>
      </c>
      <c r="K76" s="52">
        <v>487.96679999999998</v>
      </c>
      <c r="L76" s="52">
        <v>162.65559999999999</v>
      </c>
      <c r="M76" s="52">
        <v>162.65559999999999</v>
      </c>
      <c r="N76" s="5" t="s">
        <v>69</v>
      </c>
    </row>
    <row r="77" spans="1:14" x14ac:dyDescent="0.25">
      <c r="A77" s="50">
        <v>0.86599999999999999</v>
      </c>
      <c r="B77" s="52">
        <v>1628.4365</v>
      </c>
      <c r="C77" s="52">
        <v>0</v>
      </c>
      <c r="D77" s="52">
        <v>122.1327</v>
      </c>
      <c r="E77" s="52">
        <v>122.1327</v>
      </c>
      <c r="F77" s="52">
        <v>0</v>
      </c>
      <c r="G77" s="52">
        <v>162.84370000000001</v>
      </c>
      <c r="H77" s="52">
        <v>81.421800000000005</v>
      </c>
      <c r="I77" s="52">
        <v>162.84370000000001</v>
      </c>
      <c r="J77" s="52">
        <v>162.84370000000001</v>
      </c>
      <c r="K77" s="52">
        <v>488.53089999999997</v>
      </c>
      <c r="L77" s="52">
        <v>162.84370000000001</v>
      </c>
      <c r="M77" s="52">
        <v>162.84370000000001</v>
      </c>
      <c r="N77" s="5" t="s">
        <v>69</v>
      </c>
    </row>
    <row r="78" spans="1:14" x14ac:dyDescent="0.25">
      <c r="A78" s="50">
        <v>0.86699999999999999</v>
      </c>
      <c r="B78" s="52">
        <v>1630.3169</v>
      </c>
      <c r="C78" s="52">
        <v>0</v>
      </c>
      <c r="D78" s="52">
        <v>122.27379999999999</v>
      </c>
      <c r="E78" s="52">
        <v>122.27379999999999</v>
      </c>
      <c r="F78" s="52">
        <v>0</v>
      </c>
      <c r="G78" s="52">
        <v>163.0317</v>
      </c>
      <c r="H78" s="52">
        <v>81.515799999999999</v>
      </c>
      <c r="I78" s="52">
        <v>163.0317</v>
      </c>
      <c r="J78" s="52">
        <v>163.0317</v>
      </c>
      <c r="K78" s="52">
        <v>489.0951</v>
      </c>
      <c r="L78" s="52">
        <v>163.0317</v>
      </c>
      <c r="M78" s="52">
        <v>163.0317</v>
      </c>
      <c r="N78" s="5" t="s">
        <v>69</v>
      </c>
    </row>
    <row r="79" spans="1:14" x14ac:dyDescent="0.25">
      <c r="A79" s="50">
        <v>0.86799999999999999</v>
      </c>
      <c r="B79" s="52">
        <v>1632.1973</v>
      </c>
      <c r="C79" s="52">
        <v>0</v>
      </c>
      <c r="D79" s="52">
        <v>122.4148</v>
      </c>
      <c r="E79" s="52">
        <v>122.4148</v>
      </c>
      <c r="F79" s="52">
        <v>0</v>
      </c>
      <c r="G79" s="52">
        <v>163.21969999999999</v>
      </c>
      <c r="H79" s="52">
        <v>81.609899999999996</v>
      </c>
      <c r="I79" s="52">
        <v>163.21969999999999</v>
      </c>
      <c r="J79" s="52">
        <v>163.21969999999999</v>
      </c>
      <c r="K79" s="52">
        <v>489.6592</v>
      </c>
      <c r="L79" s="52">
        <v>163.21969999999999</v>
      </c>
      <c r="M79" s="52">
        <v>163.21969999999999</v>
      </c>
      <c r="N79" s="5" t="s">
        <v>69</v>
      </c>
    </row>
    <row r="80" spans="1:14" x14ac:dyDescent="0.25">
      <c r="A80" s="50">
        <v>0.86899999999999999</v>
      </c>
      <c r="B80" s="52">
        <v>1634.0777</v>
      </c>
      <c r="C80" s="52">
        <v>0</v>
      </c>
      <c r="D80" s="52">
        <v>122.5558</v>
      </c>
      <c r="E80" s="52">
        <v>122.5558</v>
      </c>
      <c r="F80" s="52">
        <v>0</v>
      </c>
      <c r="G80" s="52">
        <v>163.40780000000001</v>
      </c>
      <c r="H80" s="52">
        <v>81.703900000000004</v>
      </c>
      <c r="I80" s="52">
        <v>163.40780000000001</v>
      </c>
      <c r="J80" s="52">
        <v>163.40780000000001</v>
      </c>
      <c r="K80" s="52">
        <v>490.22329999999999</v>
      </c>
      <c r="L80" s="52">
        <v>163.40780000000001</v>
      </c>
      <c r="M80" s="52">
        <v>163.40780000000001</v>
      </c>
      <c r="N80" s="5" t="s">
        <v>69</v>
      </c>
    </row>
    <row r="81" spans="1:14" x14ac:dyDescent="0.25">
      <c r="A81" s="50">
        <v>0.87</v>
      </c>
      <c r="B81" s="52">
        <v>1635.9581000000001</v>
      </c>
      <c r="C81" s="52">
        <v>0</v>
      </c>
      <c r="D81" s="52">
        <v>122.6969</v>
      </c>
      <c r="E81" s="52">
        <v>122.6969</v>
      </c>
      <c r="F81" s="52">
        <v>0</v>
      </c>
      <c r="G81" s="52">
        <v>163.5958</v>
      </c>
      <c r="H81" s="52">
        <v>81.797899999999998</v>
      </c>
      <c r="I81" s="52">
        <v>163.5958</v>
      </c>
      <c r="J81" s="52">
        <v>163.5958</v>
      </c>
      <c r="K81" s="52">
        <v>490.78739999999999</v>
      </c>
      <c r="L81" s="52">
        <v>163.5958</v>
      </c>
      <c r="M81" s="52">
        <v>163.5958</v>
      </c>
      <c r="N81" s="5" t="s">
        <v>69</v>
      </c>
    </row>
    <row r="82" spans="1:14" x14ac:dyDescent="0.25">
      <c r="A82" s="50">
        <v>0.871</v>
      </c>
      <c r="B82" s="52">
        <v>1637.8386</v>
      </c>
      <c r="C82" s="52">
        <v>0</v>
      </c>
      <c r="D82" s="52">
        <v>122.8379</v>
      </c>
      <c r="E82" s="52">
        <v>122.8379</v>
      </c>
      <c r="F82" s="52">
        <v>0</v>
      </c>
      <c r="G82" s="52">
        <v>163.78389999999999</v>
      </c>
      <c r="H82" s="52">
        <v>81.891900000000007</v>
      </c>
      <c r="I82" s="52">
        <v>163.78389999999999</v>
      </c>
      <c r="J82" s="52">
        <v>163.78389999999999</v>
      </c>
      <c r="K82" s="52">
        <v>491.35160000000002</v>
      </c>
      <c r="L82" s="52">
        <v>163.78389999999999</v>
      </c>
      <c r="M82" s="52">
        <v>163.78389999999999</v>
      </c>
      <c r="N82" s="5" t="s">
        <v>69</v>
      </c>
    </row>
    <row r="83" spans="1:14" x14ac:dyDescent="0.25">
      <c r="A83" s="50">
        <v>0.872</v>
      </c>
      <c r="B83" s="52">
        <v>1639.7190000000001</v>
      </c>
      <c r="C83" s="52">
        <v>0</v>
      </c>
      <c r="D83" s="52">
        <v>122.9789</v>
      </c>
      <c r="E83" s="52">
        <v>122.9789</v>
      </c>
      <c r="F83" s="52">
        <v>0</v>
      </c>
      <c r="G83" s="52">
        <v>163.97190000000001</v>
      </c>
      <c r="H83" s="52">
        <v>81.985900000000001</v>
      </c>
      <c r="I83" s="52">
        <v>163.97190000000001</v>
      </c>
      <c r="J83" s="52">
        <v>163.97190000000001</v>
      </c>
      <c r="K83" s="52">
        <v>491.91570000000002</v>
      </c>
      <c r="L83" s="52">
        <v>163.97190000000001</v>
      </c>
      <c r="M83" s="52">
        <v>163.97190000000001</v>
      </c>
      <c r="N83" s="5" t="s">
        <v>69</v>
      </c>
    </row>
    <row r="84" spans="1:14" x14ac:dyDescent="0.25">
      <c r="A84" s="50">
        <v>0.873</v>
      </c>
      <c r="B84" s="52">
        <v>1641.5994000000001</v>
      </c>
      <c r="C84" s="52">
        <v>0</v>
      </c>
      <c r="D84" s="52">
        <v>123.12</v>
      </c>
      <c r="E84" s="52">
        <v>123.12</v>
      </c>
      <c r="F84" s="52">
        <v>0</v>
      </c>
      <c r="G84" s="52">
        <v>164.15989999999999</v>
      </c>
      <c r="H84" s="52">
        <v>82.08</v>
      </c>
      <c r="I84" s="52">
        <v>164.15989999999999</v>
      </c>
      <c r="J84" s="52">
        <v>164.15989999999999</v>
      </c>
      <c r="K84" s="52">
        <v>492.47980000000001</v>
      </c>
      <c r="L84" s="52">
        <v>164.15989999999999</v>
      </c>
      <c r="M84" s="52">
        <v>164.15989999999999</v>
      </c>
      <c r="N84" s="5" t="s">
        <v>69</v>
      </c>
    </row>
    <row r="85" spans="1:14" x14ac:dyDescent="0.25">
      <c r="A85" s="50">
        <v>0.874</v>
      </c>
      <c r="B85" s="52">
        <v>1643.4798000000001</v>
      </c>
      <c r="C85" s="52">
        <v>0</v>
      </c>
      <c r="D85" s="52">
        <v>123.261</v>
      </c>
      <c r="E85" s="52">
        <v>123.261</v>
      </c>
      <c r="F85" s="52">
        <v>0</v>
      </c>
      <c r="G85" s="52">
        <v>164.34800000000001</v>
      </c>
      <c r="H85" s="52">
        <v>82.174000000000007</v>
      </c>
      <c r="I85" s="52">
        <v>164.34800000000001</v>
      </c>
      <c r="J85" s="52">
        <v>164.34800000000001</v>
      </c>
      <c r="K85" s="52">
        <v>493.04390000000001</v>
      </c>
      <c r="L85" s="52">
        <v>164.34800000000001</v>
      </c>
      <c r="M85" s="52">
        <v>164.34800000000001</v>
      </c>
      <c r="N85" s="5" t="s">
        <v>69</v>
      </c>
    </row>
    <row r="86" spans="1:14" x14ac:dyDescent="0.25">
      <c r="A86" s="50">
        <v>0.875</v>
      </c>
      <c r="B86" s="52">
        <v>1645.3602000000001</v>
      </c>
      <c r="C86" s="52">
        <v>0</v>
      </c>
      <c r="D86" s="52">
        <v>123.402</v>
      </c>
      <c r="E86" s="52">
        <v>123.402</v>
      </c>
      <c r="F86" s="52">
        <v>0</v>
      </c>
      <c r="G86" s="52">
        <v>164.536</v>
      </c>
      <c r="H86" s="52">
        <v>82.268000000000001</v>
      </c>
      <c r="I86" s="52">
        <v>164.536</v>
      </c>
      <c r="J86" s="52">
        <v>164.536</v>
      </c>
      <c r="K86" s="52">
        <v>493.60809999999998</v>
      </c>
      <c r="L86" s="52">
        <v>164.536</v>
      </c>
      <c r="M86" s="52">
        <v>164.536</v>
      </c>
      <c r="N86" s="5" t="s">
        <v>69</v>
      </c>
    </row>
    <row r="87" spans="1:14" x14ac:dyDescent="0.25">
      <c r="A87" s="50">
        <v>0.876</v>
      </c>
      <c r="B87" s="52">
        <v>1647.2406000000001</v>
      </c>
      <c r="C87" s="52">
        <v>0</v>
      </c>
      <c r="D87" s="52">
        <v>123.54300000000001</v>
      </c>
      <c r="E87" s="52">
        <v>123.54300000000001</v>
      </c>
      <c r="F87" s="52">
        <v>0</v>
      </c>
      <c r="G87" s="52">
        <v>164.72409999999999</v>
      </c>
      <c r="H87" s="52">
        <v>82.361999999999995</v>
      </c>
      <c r="I87" s="52">
        <v>164.72409999999999</v>
      </c>
      <c r="J87" s="52">
        <v>164.72409999999999</v>
      </c>
      <c r="K87" s="52">
        <v>494.17219999999998</v>
      </c>
      <c r="L87" s="52">
        <v>164.72409999999999</v>
      </c>
      <c r="M87" s="52">
        <v>164.72409999999999</v>
      </c>
      <c r="N87" s="5" t="s">
        <v>69</v>
      </c>
    </row>
    <row r="88" spans="1:14" x14ac:dyDescent="0.25">
      <c r="A88" s="50">
        <v>0.877</v>
      </c>
      <c r="B88" s="52">
        <v>1649.1210000000001</v>
      </c>
      <c r="C88" s="52">
        <v>0</v>
      </c>
      <c r="D88" s="52">
        <v>123.6841</v>
      </c>
      <c r="E88" s="52">
        <v>123.6841</v>
      </c>
      <c r="F88" s="52">
        <v>0</v>
      </c>
      <c r="G88" s="52">
        <v>164.91210000000001</v>
      </c>
      <c r="H88" s="52">
        <v>82.456100000000006</v>
      </c>
      <c r="I88" s="52">
        <v>164.91210000000001</v>
      </c>
      <c r="J88" s="52">
        <v>164.91210000000001</v>
      </c>
      <c r="K88" s="52">
        <v>494.73630000000003</v>
      </c>
      <c r="L88" s="52">
        <v>164.91210000000001</v>
      </c>
      <c r="M88" s="52">
        <v>164.91210000000001</v>
      </c>
      <c r="N88" s="5" t="s">
        <v>69</v>
      </c>
    </row>
    <row r="89" spans="1:14" x14ac:dyDescent="0.25">
      <c r="A89" s="50">
        <v>0.878</v>
      </c>
      <c r="B89" s="52">
        <v>1651.0014000000001</v>
      </c>
      <c r="C89" s="52">
        <v>0</v>
      </c>
      <c r="D89" s="52">
        <v>123.82510000000001</v>
      </c>
      <c r="E89" s="52">
        <v>123.82510000000001</v>
      </c>
      <c r="F89" s="52">
        <v>0</v>
      </c>
      <c r="G89" s="52">
        <v>165.1001</v>
      </c>
      <c r="H89" s="52">
        <v>82.5501</v>
      </c>
      <c r="I89" s="52">
        <v>165.1001</v>
      </c>
      <c r="J89" s="52">
        <v>165.1001</v>
      </c>
      <c r="K89" s="52">
        <v>495.30040000000002</v>
      </c>
      <c r="L89" s="52">
        <v>165.1001</v>
      </c>
      <c r="M89" s="52">
        <v>165.1001</v>
      </c>
      <c r="N89" s="5" t="s">
        <v>69</v>
      </c>
    </row>
    <row r="90" spans="1:14" x14ac:dyDescent="0.25">
      <c r="A90" s="50">
        <v>0.879</v>
      </c>
      <c r="B90" s="52">
        <v>1652.8819000000001</v>
      </c>
      <c r="C90" s="52">
        <v>0</v>
      </c>
      <c r="D90" s="52">
        <v>123.9661</v>
      </c>
      <c r="E90" s="52">
        <v>123.9661</v>
      </c>
      <c r="F90" s="52">
        <v>0</v>
      </c>
      <c r="G90" s="52">
        <v>165.28819999999999</v>
      </c>
      <c r="H90" s="52">
        <v>82.644099999999995</v>
      </c>
      <c r="I90" s="52">
        <v>165.28819999999999</v>
      </c>
      <c r="J90" s="52">
        <v>165.28819999999999</v>
      </c>
      <c r="K90" s="52">
        <v>495.8646</v>
      </c>
      <c r="L90" s="52">
        <v>165.28819999999999</v>
      </c>
      <c r="M90" s="52">
        <v>165.28819999999999</v>
      </c>
      <c r="N90" s="5" t="s">
        <v>69</v>
      </c>
    </row>
    <row r="91" spans="1:14" x14ac:dyDescent="0.25">
      <c r="A91" s="50">
        <v>0.88</v>
      </c>
      <c r="B91" s="52">
        <v>1654.7623000000001</v>
      </c>
      <c r="C91" s="52">
        <v>0</v>
      </c>
      <c r="D91" s="52">
        <v>124.10720000000001</v>
      </c>
      <c r="E91" s="52">
        <v>124.10720000000001</v>
      </c>
      <c r="F91" s="52">
        <v>0</v>
      </c>
      <c r="G91" s="52">
        <v>165.47620000000001</v>
      </c>
      <c r="H91" s="52">
        <v>82.738100000000003</v>
      </c>
      <c r="I91" s="52">
        <v>165.47620000000001</v>
      </c>
      <c r="J91" s="52">
        <v>165.47620000000001</v>
      </c>
      <c r="K91" s="52">
        <v>496.42869999999999</v>
      </c>
      <c r="L91" s="52">
        <v>165.47620000000001</v>
      </c>
      <c r="M91" s="52">
        <v>165.47620000000001</v>
      </c>
      <c r="N91" s="5" t="s">
        <v>69</v>
      </c>
    </row>
    <row r="92" spans="1:14" x14ac:dyDescent="0.25">
      <c r="A92" s="50">
        <v>0.88100000000000001</v>
      </c>
      <c r="B92" s="52">
        <v>1656.6427000000001</v>
      </c>
      <c r="C92" s="52">
        <v>0</v>
      </c>
      <c r="D92" s="52">
        <v>124.2482</v>
      </c>
      <c r="E92" s="52">
        <v>124.2482</v>
      </c>
      <c r="F92" s="52">
        <v>0</v>
      </c>
      <c r="G92" s="52">
        <v>165.6643</v>
      </c>
      <c r="H92" s="52">
        <v>82.832099999999997</v>
      </c>
      <c r="I92" s="52">
        <v>165.6643</v>
      </c>
      <c r="J92" s="52">
        <v>165.6643</v>
      </c>
      <c r="K92" s="52">
        <v>496.99279999999999</v>
      </c>
      <c r="L92" s="52">
        <v>165.6643</v>
      </c>
      <c r="M92" s="52">
        <v>165.6643</v>
      </c>
      <c r="N92" s="5" t="s">
        <v>69</v>
      </c>
    </row>
    <row r="93" spans="1:14" x14ac:dyDescent="0.25">
      <c r="A93" s="50">
        <v>0.88200000000000001</v>
      </c>
      <c r="B93" s="52">
        <v>1658.5231000000001</v>
      </c>
      <c r="C93" s="52">
        <v>0</v>
      </c>
      <c r="D93" s="52">
        <v>124.3892</v>
      </c>
      <c r="E93" s="52">
        <v>124.3892</v>
      </c>
      <c r="F93" s="52">
        <v>0</v>
      </c>
      <c r="G93" s="52">
        <v>165.85230000000001</v>
      </c>
      <c r="H93" s="52">
        <v>82.926199999999994</v>
      </c>
      <c r="I93" s="52">
        <v>165.85230000000001</v>
      </c>
      <c r="J93" s="52">
        <v>165.85230000000001</v>
      </c>
      <c r="K93" s="52">
        <v>497.55689999999998</v>
      </c>
      <c r="L93" s="52">
        <v>165.85230000000001</v>
      </c>
      <c r="M93" s="52">
        <v>165.85230000000001</v>
      </c>
      <c r="N93" s="5" t="s">
        <v>69</v>
      </c>
    </row>
    <row r="94" spans="1:14" x14ac:dyDescent="0.25">
      <c r="A94" s="50">
        <v>0.88300000000000001</v>
      </c>
      <c r="B94" s="52">
        <v>1660.4034999999999</v>
      </c>
      <c r="C94" s="52">
        <v>0</v>
      </c>
      <c r="D94" s="52">
        <v>124.5303</v>
      </c>
      <c r="E94" s="52">
        <v>124.5303</v>
      </c>
      <c r="F94" s="52">
        <v>0</v>
      </c>
      <c r="G94" s="52">
        <v>166.0403</v>
      </c>
      <c r="H94" s="52">
        <v>83.020200000000003</v>
      </c>
      <c r="I94" s="52">
        <v>166.0403</v>
      </c>
      <c r="J94" s="52">
        <v>166.0403</v>
      </c>
      <c r="K94" s="52">
        <v>498.12099999999998</v>
      </c>
      <c r="L94" s="52">
        <v>166.0403</v>
      </c>
      <c r="M94" s="52">
        <v>166.0403</v>
      </c>
      <c r="N94" s="5" t="s">
        <v>69</v>
      </c>
    </row>
    <row r="95" spans="1:14" x14ac:dyDescent="0.25">
      <c r="A95" s="50">
        <v>0.88400000000000001</v>
      </c>
      <c r="B95" s="52">
        <v>1662.2838999999999</v>
      </c>
      <c r="C95" s="52">
        <v>0</v>
      </c>
      <c r="D95" s="52">
        <v>124.6713</v>
      </c>
      <c r="E95" s="52">
        <v>124.6713</v>
      </c>
      <c r="F95" s="52">
        <v>0</v>
      </c>
      <c r="G95" s="52">
        <v>166.22839999999999</v>
      </c>
      <c r="H95" s="52">
        <v>83.114199999999997</v>
      </c>
      <c r="I95" s="52">
        <v>166.22839999999999</v>
      </c>
      <c r="J95" s="52">
        <v>166.22839999999999</v>
      </c>
      <c r="K95" s="52">
        <v>498.68520000000001</v>
      </c>
      <c r="L95" s="52">
        <v>166.22839999999999</v>
      </c>
      <c r="M95" s="52">
        <v>166.22839999999999</v>
      </c>
      <c r="N95" s="5" t="s">
        <v>69</v>
      </c>
    </row>
    <row r="96" spans="1:14" x14ac:dyDescent="0.25">
      <c r="A96" s="50">
        <v>0.88500000000000001</v>
      </c>
      <c r="B96" s="52">
        <v>1664.1642999999999</v>
      </c>
      <c r="C96" s="52">
        <v>0</v>
      </c>
      <c r="D96" s="52">
        <v>124.81229999999999</v>
      </c>
      <c r="E96" s="52">
        <v>124.81229999999999</v>
      </c>
      <c r="F96" s="52">
        <v>0</v>
      </c>
      <c r="G96" s="52">
        <v>166.41640000000001</v>
      </c>
      <c r="H96" s="52">
        <v>83.208200000000005</v>
      </c>
      <c r="I96" s="52">
        <v>166.41640000000001</v>
      </c>
      <c r="J96" s="52">
        <v>166.41640000000001</v>
      </c>
      <c r="K96" s="52">
        <v>499.24930000000001</v>
      </c>
      <c r="L96" s="52">
        <v>166.41640000000001</v>
      </c>
      <c r="M96" s="52">
        <v>166.41640000000001</v>
      </c>
      <c r="N96" s="5" t="s">
        <v>69</v>
      </c>
    </row>
    <row r="97" spans="1:14" x14ac:dyDescent="0.25">
      <c r="A97" s="50">
        <v>0.88600000000000001</v>
      </c>
      <c r="B97" s="52">
        <v>1666.0446999999999</v>
      </c>
      <c r="C97" s="52">
        <v>0</v>
      </c>
      <c r="D97" s="52">
        <v>124.9534</v>
      </c>
      <c r="E97" s="52">
        <v>124.9534</v>
      </c>
      <c r="F97" s="52">
        <v>0</v>
      </c>
      <c r="G97" s="52">
        <v>166.6045</v>
      </c>
      <c r="H97" s="52">
        <v>83.302199999999999</v>
      </c>
      <c r="I97" s="52">
        <v>166.6045</v>
      </c>
      <c r="J97" s="52">
        <v>166.6045</v>
      </c>
      <c r="K97" s="52">
        <v>499.8134</v>
      </c>
      <c r="L97" s="52">
        <v>166.6045</v>
      </c>
      <c r="M97" s="52">
        <v>166.6045</v>
      </c>
      <c r="N97" s="5" t="s">
        <v>69</v>
      </c>
    </row>
    <row r="98" spans="1:14" x14ac:dyDescent="0.25">
      <c r="A98" s="50">
        <v>0.88700000000000001</v>
      </c>
      <c r="B98" s="52">
        <v>1667.9250999999999</v>
      </c>
      <c r="C98" s="52">
        <v>0</v>
      </c>
      <c r="D98" s="52">
        <v>125.09439999999999</v>
      </c>
      <c r="E98" s="52">
        <v>125.09439999999999</v>
      </c>
      <c r="F98" s="52">
        <v>0</v>
      </c>
      <c r="G98" s="52">
        <v>166.79249999999999</v>
      </c>
      <c r="H98" s="52">
        <v>83.396299999999997</v>
      </c>
      <c r="I98" s="52">
        <v>166.79249999999999</v>
      </c>
      <c r="J98" s="52">
        <v>166.79249999999999</v>
      </c>
      <c r="K98" s="52">
        <v>500.3775</v>
      </c>
      <c r="L98" s="52">
        <v>166.79249999999999</v>
      </c>
      <c r="M98" s="52">
        <v>166.79249999999999</v>
      </c>
      <c r="N98" s="5" t="s">
        <v>69</v>
      </c>
    </row>
    <row r="99" spans="1:14" x14ac:dyDescent="0.25">
      <c r="A99" s="50">
        <v>0.88800000000000001</v>
      </c>
      <c r="B99" s="52">
        <v>1669.8055999999999</v>
      </c>
      <c r="C99" s="52">
        <v>0</v>
      </c>
      <c r="D99" s="52">
        <v>125.2354</v>
      </c>
      <c r="E99" s="52">
        <v>125.2354</v>
      </c>
      <c r="F99" s="52">
        <v>0</v>
      </c>
      <c r="G99" s="52">
        <v>166.98060000000001</v>
      </c>
      <c r="H99" s="52">
        <v>83.490300000000005</v>
      </c>
      <c r="I99" s="52">
        <v>166.98060000000001</v>
      </c>
      <c r="J99" s="52">
        <v>166.98060000000001</v>
      </c>
      <c r="K99" s="52">
        <v>500.94170000000003</v>
      </c>
      <c r="L99" s="52">
        <v>166.98060000000001</v>
      </c>
      <c r="M99" s="52">
        <v>166.98060000000001</v>
      </c>
      <c r="N99" s="5" t="s">
        <v>69</v>
      </c>
    </row>
    <row r="100" spans="1:14" x14ac:dyDescent="0.25">
      <c r="A100" s="50">
        <v>0.88900000000000001</v>
      </c>
      <c r="B100" s="52">
        <v>1671.6859999999999</v>
      </c>
      <c r="C100" s="52">
        <v>0</v>
      </c>
      <c r="D100" s="52">
        <v>125.3764</v>
      </c>
      <c r="E100" s="52">
        <v>125.3764</v>
      </c>
      <c r="F100" s="52">
        <v>0</v>
      </c>
      <c r="G100" s="52">
        <v>167.1686</v>
      </c>
      <c r="H100" s="52">
        <v>83.584299999999999</v>
      </c>
      <c r="I100" s="52">
        <v>167.1686</v>
      </c>
      <c r="J100" s="52">
        <v>167.1686</v>
      </c>
      <c r="K100" s="52">
        <v>501.50580000000002</v>
      </c>
      <c r="L100" s="52">
        <v>167.1686</v>
      </c>
      <c r="M100" s="52">
        <v>167.1686</v>
      </c>
      <c r="N100" s="5" t="s">
        <v>69</v>
      </c>
    </row>
    <row r="101" spans="1:14" x14ac:dyDescent="0.25">
      <c r="A101" s="50">
        <v>0.89</v>
      </c>
      <c r="B101" s="52">
        <v>1673.5663999999999</v>
      </c>
      <c r="C101" s="52">
        <v>0</v>
      </c>
      <c r="D101" s="52">
        <v>125.5175</v>
      </c>
      <c r="E101" s="52">
        <v>125.5175</v>
      </c>
      <c r="F101" s="52">
        <v>0</v>
      </c>
      <c r="G101" s="52">
        <v>167.35659999999999</v>
      </c>
      <c r="H101" s="52">
        <v>83.678299999999993</v>
      </c>
      <c r="I101" s="52">
        <v>167.35659999999999</v>
      </c>
      <c r="J101" s="52">
        <v>167.35659999999999</v>
      </c>
      <c r="K101" s="52">
        <v>502.06990000000002</v>
      </c>
      <c r="L101" s="52">
        <v>167.35659999999999</v>
      </c>
      <c r="M101" s="52">
        <v>167.35659999999999</v>
      </c>
      <c r="N101" s="5" t="s">
        <v>69</v>
      </c>
    </row>
    <row r="102" spans="1:14" x14ac:dyDescent="0.25">
      <c r="A102" s="50">
        <v>0.89100000000000001</v>
      </c>
      <c r="B102" s="52">
        <v>1675.4467999999999</v>
      </c>
      <c r="C102" s="52">
        <v>0</v>
      </c>
      <c r="D102" s="52">
        <v>125.6585</v>
      </c>
      <c r="E102" s="52">
        <v>125.6585</v>
      </c>
      <c r="F102" s="52">
        <v>0</v>
      </c>
      <c r="G102" s="52">
        <v>167.54470000000001</v>
      </c>
      <c r="H102" s="52">
        <v>83.772300000000001</v>
      </c>
      <c r="I102" s="52">
        <v>167.54470000000001</v>
      </c>
      <c r="J102" s="52">
        <v>167.54470000000001</v>
      </c>
      <c r="K102" s="52">
        <v>502.63400000000001</v>
      </c>
      <c r="L102" s="52">
        <v>167.54470000000001</v>
      </c>
      <c r="M102" s="52">
        <v>167.54470000000001</v>
      </c>
      <c r="N102" s="5" t="s">
        <v>69</v>
      </c>
    </row>
    <row r="103" spans="1:14" x14ac:dyDescent="0.25">
      <c r="A103" s="50">
        <v>0.89200000000000002</v>
      </c>
      <c r="B103" s="52">
        <v>1677.3271999999999</v>
      </c>
      <c r="C103" s="52">
        <v>0</v>
      </c>
      <c r="D103" s="52">
        <v>125.79949999999999</v>
      </c>
      <c r="E103" s="52">
        <v>125.79949999999999</v>
      </c>
      <c r="F103" s="52">
        <v>0</v>
      </c>
      <c r="G103" s="52">
        <v>167.73269999999999</v>
      </c>
      <c r="H103" s="52">
        <v>83.866399999999999</v>
      </c>
      <c r="I103" s="52">
        <v>167.73269999999999</v>
      </c>
      <c r="J103" s="52">
        <v>167.73269999999999</v>
      </c>
      <c r="K103" s="52">
        <v>503.19819999999999</v>
      </c>
      <c r="L103" s="52">
        <v>167.73269999999999</v>
      </c>
      <c r="M103" s="52">
        <v>167.73269999999999</v>
      </c>
      <c r="N103" s="5" t="s">
        <v>69</v>
      </c>
    </row>
    <row r="104" spans="1:14" x14ac:dyDescent="0.25">
      <c r="A104" s="50">
        <v>0.89300000000000002</v>
      </c>
      <c r="B104" s="52">
        <v>1679.2076</v>
      </c>
      <c r="C104" s="52">
        <v>0</v>
      </c>
      <c r="D104" s="52">
        <v>125.9406</v>
      </c>
      <c r="E104" s="52">
        <v>125.9406</v>
      </c>
      <c r="F104" s="52">
        <v>0</v>
      </c>
      <c r="G104" s="52">
        <v>167.92080000000001</v>
      </c>
      <c r="H104" s="52">
        <v>83.960400000000007</v>
      </c>
      <c r="I104" s="52">
        <v>167.92080000000001</v>
      </c>
      <c r="J104" s="52">
        <v>167.92080000000001</v>
      </c>
      <c r="K104" s="52">
        <v>503.76229999999998</v>
      </c>
      <c r="L104" s="52">
        <v>167.92080000000001</v>
      </c>
      <c r="M104" s="52">
        <v>167.92080000000001</v>
      </c>
      <c r="N104" s="5" t="s">
        <v>69</v>
      </c>
    </row>
    <row r="105" spans="1:14" x14ac:dyDescent="0.25">
      <c r="A105" s="50">
        <v>0.89400000000000002</v>
      </c>
      <c r="B105" s="52">
        <v>1681.088</v>
      </c>
      <c r="C105" s="52">
        <v>0</v>
      </c>
      <c r="D105" s="52">
        <v>126.08159999999999</v>
      </c>
      <c r="E105" s="52">
        <v>126.08159999999999</v>
      </c>
      <c r="F105" s="52">
        <v>0</v>
      </c>
      <c r="G105" s="52">
        <v>168.1088</v>
      </c>
      <c r="H105" s="52">
        <v>84.054400000000001</v>
      </c>
      <c r="I105" s="52">
        <v>168.1088</v>
      </c>
      <c r="J105" s="52">
        <v>168.1088</v>
      </c>
      <c r="K105" s="52">
        <v>504.32639999999998</v>
      </c>
      <c r="L105" s="52">
        <v>168.1088</v>
      </c>
      <c r="M105" s="52">
        <v>168.1088</v>
      </c>
      <c r="N105" s="5" t="s">
        <v>69</v>
      </c>
    </row>
    <row r="106" spans="1:14" x14ac:dyDescent="0.25">
      <c r="A106" s="50">
        <v>0.89500000000000002</v>
      </c>
      <c r="B106" s="52">
        <v>1682.9684</v>
      </c>
      <c r="C106" s="52">
        <v>0</v>
      </c>
      <c r="D106" s="52">
        <v>126.2226</v>
      </c>
      <c r="E106" s="52">
        <v>126.2226</v>
      </c>
      <c r="F106" s="52">
        <v>0</v>
      </c>
      <c r="G106" s="52">
        <v>168.29679999999999</v>
      </c>
      <c r="H106" s="52">
        <v>84.148399999999995</v>
      </c>
      <c r="I106" s="52">
        <v>168.29679999999999</v>
      </c>
      <c r="J106" s="52">
        <v>168.29679999999999</v>
      </c>
      <c r="K106" s="52">
        <v>504.89049999999997</v>
      </c>
      <c r="L106" s="52">
        <v>168.29679999999999</v>
      </c>
      <c r="M106" s="52">
        <v>168.29679999999999</v>
      </c>
      <c r="N106" s="5" t="s">
        <v>69</v>
      </c>
    </row>
    <row r="107" spans="1:14" x14ac:dyDescent="0.25">
      <c r="A107" s="50">
        <v>0.89600000000000002</v>
      </c>
      <c r="B107" s="52">
        <v>1684.8489</v>
      </c>
      <c r="C107" s="52">
        <v>0</v>
      </c>
      <c r="D107" s="52">
        <v>126.36369999999999</v>
      </c>
      <c r="E107" s="52">
        <v>126.36369999999999</v>
      </c>
      <c r="F107" s="52">
        <v>0</v>
      </c>
      <c r="G107" s="52">
        <v>168.48490000000001</v>
      </c>
      <c r="H107" s="52">
        <v>84.242400000000004</v>
      </c>
      <c r="I107" s="52">
        <v>168.48490000000001</v>
      </c>
      <c r="J107" s="52">
        <v>168.48490000000001</v>
      </c>
      <c r="K107" s="52">
        <v>505.4547</v>
      </c>
      <c r="L107" s="52">
        <v>168.48490000000001</v>
      </c>
      <c r="M107" s="52">
        <v>168.48490000000001</v>
      </c>
      <c r="N107" s="5" t="s">
        <v>69</v>
      </c>
    </row>
    <row r="108" spans="1:14" x14ac:dyDescent="0.25">
      <c r="A108" s="50">
        <v>0.89700000000000002</v>
      </c>
      <c r="B108" s="52">
        <v>1686.7293</v>
      </c>
      <c r="C108" s="52">
        <v>0</v>
      </c>
      <c r="D108" s="52">
        <v>126.5047</v>
      </c>
      <c r="E108" s="52">
        <v>126.5047</v>
      </c>
      <c r="F108" s="52">
        <v>0</v>
      </c>
      <c r="G108" s="52">
        <v>168.6729</v>
      </c>
      <c r="H108" s="52">
        <v>84.336500000000001</v>
      </c>
      <c r="I108" s="52">
        <v>168.6729</v>
      </c>
      <c r="J108" s="52">
        <v>168.6729</v>
      </c>
      <c r="K108" s="52">
        <v>506.0188</v>
      </c>
      <c r="L108" s="52">
        <v>168.6729</v>
      </c>
      <c r="M108" s="52">
        <v>168.6729</v>
      </c>
      <c r="N108" s="5" t="s">
        <v>69</v>
      </c>
    </row>
    <row r="109" spans="1:14" x14ac:dyDescent="0.25">
      <c r="A109" s="50">
        <v>0.89800000000000002</v>
      </c>
      <c r="B109" s="52">
        <v>1688.6097</v>
      </c>
      <c r="C109" s="52">
        <v>0</v>
      </c>
      <c r="D109" s="52">
        <v>126.64570000000001</v>
      </c>
      <c r="E109" s="52">
        <v>126.64570000000001</v>
      </c>
      <c r="F109" s="52">
        <v>0</v>
      </c>
      <c r="G109" s="52">
        <v>168.86099999999999</v>
      </c>
      <c r="H109" s="52">
        <v>84.430499999999995</v>
      </c>
      <c r="I109" s="52">
        <v>168.86099999999999</v>
      </c>
      <c r="J109" s="52">
        <v>168.86099999999999</v>
      </c>
      <c r="K109" s="52">
        <v>506.5829</v>
      </c>
      <c r="L109" s="52">
        <v>168.86099999999999</v>
      </c>
      <c r="M109" s="52">
        <v>168.86099999999999</v>
      </c>
      <c r="N109" s="5" t="s">
        <v>69</v>
      </c>
    </row>
    <row r="110" spans="1:14" x14ac:dyDescent="0.25">
      <c r="A110" s="50">
        <v>0.89900000000000002</v>
      </c>
      <c r="B110" s="52">
        <v>1690.4901</v>
      </c>
      <c r="C110" s="52">
        <v>0</v>
      </c>
      <c r="D110" s="52">
        <v>126.7868</v>
      </c>
      <c r="E110" s="52">
        <v>126.7868</v>
      </c>
      <c r="F110" s="52">
        <v>0</v>
      </c>
      <c r="G110" s="52">
        <v>169.04900000000001</v>
      </c>
      <c r="H110" s="52">
        <v>84.524500000000003</v>
      </c>
      <c r="I110" s="52">
        <v>169.04900000000001</v>
      </c>
      <c r="J110" s="52">
        <v>169.04900000000001</v>
      </c>
      <c r="K110" s="52">
        <v>507.14699999999999</v>
      </c>
      <c r="L110" s="52">
        <v>169.04900000000001</v>
      </c>
      <c r="M110" s="52">
        <v>169.04900000000001</v>
      </c>
      <c r="N110" s="5" t="s">
        <v>69</v>
      </c>
    </row>
    <row r="111" spans="1:14" x14ac:dyDescent="0.25">
      <c r="A111" s="50">
        <v>0.9</v>
      </c>
      <c r="B111" s="52">
        <v>2538.5556999999999</v>
      </c>
      <c r="C111" s="52">
        <v>0</v>
      </c>
      <c r="D111" s="52">
        <v>190.39169999999999</v>
      </c>
      <c r="E111" s="52">
        <v>190.39169999999999</v>
      </c>
      <c r="F111" s="52">
        <v>0</v>
      </c>
      <c r="G111" s="52">
        <v>253.85560000000001</v>
      </c>
      <c r="H111" s="52">
        <v>126.9278</v>
      </c>
      <c r="I111" s="52">
        <v>253.85560000000001</v>
      </c>
      <c r="J111" s="52">
        <v>253.85560000000001</v>
      </c>
      <c r="K111" s="52">
        <v>761.56669999999997</v>
      </c>
      <c r="L111" s="52">
        <v>253.85560000000001</v>
      </c>
      <c r="M111" s="52">
        <v>253.85560000000001</v>
      </c>
      <c r="N111" s="5" t="s">
        <v>69</v>
      </c>
    </row>
    <row r="112" spans="1:14" x14ac:dyDescent="0.25">
      <c r="A112" s="50">
        <v>0.90100000000000002</v>
      </c>
      <c r="B112" s="52">
        <v>2541.3764000000001</v>
      </c>
      <c r="C112" s="52">
        <v>0</v>
      </c>
      <c r="D112" s="52">
        <v>190.60319999999999</v>
      </c>
      <c r="E112" s="52">
        <v>190.60319999999999</v>
      </c>
      <c r="F112" s="52">
        <v>0</v>
      </c>
      <c r="G112" s="52">
        <v>254.13759999999999</v>
      </c>
      <c r="H112" s="52">
        <v>127.0688</v>
      </c>
      <c r="I112" s="52">
        <v>254.13759999999999</v>
      </c>
      <c r="J112" s="52">
        <v>254.13759999999999</v>
      </c>
      <c r="K112" s="52">
        <v>762.41290000000004</v>
      </c>
      <c r="L112" s="52">
        <v>254.13759999999999</v>
      </c>
      <c r="M112" s="52">
        <v>254.13759999999999</v>
      </c>
      <c r="N112" s="5" t="s">
        <v>69</v>
      </c>
    </row>
    <row r="113" spans="1:14" x14ac:dyDescent="0.25">
      <c r="A113" s="50">
        <v>0.90200000000000002</v>
      </c>
      <c r="B113" s="52">
        <v>2544.1970000000001</v>
      </c>
      <c r="C113" s="52">
        <v>0</v>
      </c>
      <c r="D113" s="52">
        <v>190.81479999999999</v>
      </c>
      <c r="E113" s="52">
        <v>190.81479999999999</v>
      </c>
      <c r="F113" s="52">
        <v>0</v>
      </c>
      <c r="G113" s="52">
        <v>254.41970000000001</v>
      </c>
      <c r="H113" s="52">
        <v>127.2098</v>
      </c>
      <c r="I113" s="52">
        <v>254.41970000000001</v>
      </c>
      <c r="J113" s="52">
        <v>254.41970000000001</v>
      </c>
      <c r="K113" s="52">
        <v>763.25909999999999</v>
      </c>
      <c r="L113" s="52">
        <v>254.41970000000001</v>
      </c>
      <c r="M113" s="52">
        <v>254.41970000000001</v>
      </c>
      <c r="N113" s="5" t="s">
        <v>69</v>
      </c>
    </row>
    <row r="114" spans="1:14" x14ac:dyDescent="0.25">
      <c r="A114" s="50">
        <v>0.90300000000000002</v>
      </c>
      <c r="B114" s="52">
        <v>2547.0176000000001</v>
      </c>
      <c r="C114" s="52">
        <v>0</v>
      </c>
      <c r="D114" s="52">
        <v>191.02629999999999</v>
      </c>
      <c r="E114" s="52">
        <v>191.02629999999999</v>
      </c>
      <c r="F114" s="52">
        <v>0</v>
      </c>
      <c r="G114" s="52">
        <v>254.70179999999999</v>
      </c>
      <c r="H114" s="52">
        <v>127.3509</v>
      </c>
      <c r="I114" s="52">
        <v>254.70179999999999</v>
      </c>
      <c r="J114" s="52">
        <v>254.70179999999999</v>
      </c>
      <c r="K114" s="52">
        <v>764.10530000000006</v>
      </c>
      <c r="L114" s="52">
        <v>254.70179999999999</v>
      </c>
      <c r="M114" s="52">
        <v>254.70179999999999</v>
      </c>
      <c r="N114" s="5" t="s">
        <v>69</v>
      </c>
    </row>
    <row r="115" spans="1:14" x14ac:dyDescent="0.25">
      <c r="A115" s="50">
        <v>0.90400000000000003</v>
      </c>
      <c r="B115" s="52">
        <v>2549.8382000000001</v>
      </c>
      <c r="C115" s="52">
        <v>0</v>
      </c>
      <c r="D115" s="52">
        <v>191.2379</v>
      </c>
      <c r="E115" s="52">
        <v>191.2379</v>
      </c>
      <c r="F115" s="52">
        <v>0</v>
      </c>
      <c r="G115" s="52">
        <v>254.9838</v>
      </c>
      <c r="H115" s="52">
        <v>127.4919</v>
      </c>
      <c r="I115" s="52">
        <v>254.9838</v>
      </c>
      <c r="J115" s="52">
        <v>254.9838</v>
      </c>
      <c r="K115" s="52">
        <v>764.95150000000001</v>
      </c>
      <c r="L115" s="52">
        <v>254.9838</v>
      </c>
      <c r="M115" s="52">
        <v>254.9838</v>
      </c>
      <c r="N115" s="5" t="s">
        <v>69</v>
      </c>
    </row>
    <row r="116" spans="1:14" x14ac:dyDescent="0.25">
      <c r="A116" s="50">
        <v>0.90500000000000003</v>
      </c>
      <c r="B116" s="52">
        <v>2552.6588000000002</v>
      </c>
      <c r="C116" s="52">
        <v>0</v>
      </c>
      <c r="D116" s="52">
        <v>191.4494</v>
      </c>
      <c r="E116" s="52">
        <v>191.4494</v>
      </c>
      <c r="F116" s="52">
        <v>0</v>
      </c>
      <c r="G116" s="52">
        <v>255.26589999999999</v>
      </c>
      <c r="H116" s="52">
        <v>127.63290000000001</v>
      </c>
      <c r="I116" s="52">
        <v>255.26589999999999</v>
      </c>
      <c r="J116" s="52">
        <v>255.26589999999999</v>
      </c>
      <c r="K116" s="52">
        <v>765.79759999999999</v>
      </c>
      <c r="L116" s="52">
        <v>255.26589999999999</v>
      </c>
      <c r="M116" s="52">
        <v>255.26589999999999</v>
      </c>
      <c r="N116" s="5" t="s">
        <v>69</v>
      </c>
    </row>
    <row r="117" spans="1:14" x14ac:dyDescent="0.25">
      <c r="A117" s="50">
        <v>0.90600000000000003</v>
      </c>
      <c r="B117" s="52">
        <v>2555.4794000000002</v>
      </c>
      <c r="C117" s="52">
        <v>0</v>
      </c>
      <c r="D117" s="52">
        <v>191.661</v>
      </c>
      <c r="E117" s="52">
        <v>191.661</v>
      </c>
      <c r="F117" s="52">
        <v>0</v>
      </c>
      <c r="G117" s="52">
        <v>255.5479</v>
      </c>
      <c r="H117" s="52">
        <v>127.774</v>
      </c>
      <c r="I117" s="52">
        <v>255.5479</v>
      </c>
      <c r="J117" s="52">
        <v>255.5479</v>
      </c>
      <c r="K117" s="52">
        <v>766.64380000000006</v>
      </c>
      <c r="L117" s="52">
        <v>255.5479</v>
      </c>
      <c r="M117" s="52">
        <v>255.5479</v>
      </c>
      <c r="N117" s="5" t="s">
        <v>69</v>
      </c>
    </row>
    <row r="118" spans="1:14" x14ac:dyDescent="0.25">
      <c r="A118" s="50">
        <v>0.90700000000000003</v>
      </c>
      <c r="B118" s="52">
        <v>2558.3000999999999</v>
      </c>
      <c r="C118" s="52">
        <v>0</v>
      </c>
      <c r="D118" s="52">
        <v>191.8725</v>
      </c>
      <c r="E118" s="52">
        <v>191.8725</v>
      </c>
      <c r="F118" s="52">
        <v>0</v>
      </c>
      <c r="G118" s="52">
        <v>255.83</v>
      </c>
      <c r="H118" s="52">
        <v>127.91500000000001</v>
      </c>
      <c r="I118" s="52">
        <v>255.83</v>
      </c>
      <c r="J118" s="52">
        <v>255.83</v>
      </c>
      <c r="K118" s="52">
        <v>767.49</v>
      </c>
      <c r="L118" s="52">
        <v>255.83</v>
      </c>
      <c r="M118" s="52">
        <v>255.83</v>
      </c>
      <c r="N118" s="5" t="s">
        <v>69</v>
      </c>
    </row>
    <row r="119" spans="1:14" x14ac:dyDescent="0.25">
      <c r="A119" s="50">
        <v>0.90800000000000003</v>
      </c>
      <c r="B119" s="52">
        <v>2561.1206999999999</v>
      </c>
      <c r="C119" s="52">
        <v>0</v>
      </c>
      <c r="D119" s="52">
        <v>192.08410000000001</v>
      </c>
      <c r="E119" s="52">
        <v>192.08410000000001</v>
      </c>
      <c r="F119" s="52">
        <v>0</v>
      </c>
      <c r="G119" s="52">
        <v>256.1121</v>
      </c>
      <c r="H119" s="52">
        <v>128.05600000000001</v>
      </c>
      <c r="I119" s="52">
        <v>256.1121</v>
      </c>
      <c r="J119" s="52">
        <v>256.1121</v>
      </c>
      <c r="K119" s="52">
        <v>768.33619999999996</v>
      </c>
      <c r="L119" s="52">
        <v>256.1121</v>
      </c>
      <c r="M119" s="52">
        <v>256.1121</v>
      </c>
      <c r="N119" s="5" t="s">
        <v>69</v>
      </c>
    </row>
    <row r="120" spans="1:14" x14ac:dyDescent="0.25">
      <c r="A120" s="50">
        <v>0.90900000000000003</v>
      </c>
      <c r="B120" s="52">
        <v>2563.9413</v>
      </c>
      <c r="C120" s="52">
        <v>0</v>
      </c>
      <c r="D120" s="52">
        <v>192.29560000000001</v>
      </c>
      <c r="E120" s="52">
        <v>192.29560000000001</v>
      </c>
      <c r="F120" s="52">
        <v>0</v>
      </c>
      <c r="G120" s="52">
        <v>256.39409999999998</v>
      </c>
      <c r="H120" s="52">
        <v>128.19710000000001</v>
      </c>
      <c r="I120" s="52">
        <v>256.39409999999998</v>
      </c>
      <c r="J120" s="52">
        <v>256.39409999999998</v>
      </c>
      <c r="K120" s="52">
        <v>769.18240000000003</v>
      </c>
      <c r="L120" s="52">
        <v>256.39409999999998</v>
      </c>
      <c r="M120" s="52">
        <v>256.39409999999998</v>
      </c>
      <c r="N120" s="5" t="s">
        <v>69</v>
      </c>
    </row>
    <row r="121" spans="1:14" x14ac:dyDescent="0.25">
      <c r="A121" s="50">
        <v>0.91</v>
      </c>
      <c r="B121" s="52">
        <v>2566.7619</v>
      </c>
      <c r="C121" s="52">
        <v>0</v>
      </c>
      <c r="D121" s="52">
        <v>192.50710000000001</v>
      </c>
      <c r="E121" s="52">
        <v>192.50710000000001</v>
      </c>
      <c r="F121" s="52">
        <v>0</v>
      </c>
      <c r="G121" s="52">
        <v>256.67619999999999</v>
      </c>
      <c r="H121" s="52">
        <v>128.3381</v>
      </c>
      <c r="I121" s="52">
        <v>256.67619999999999</v>
      </c>
      <c r="J121" s="52">
        <v>256.67619999999999</v>
      </c>
      <c r="K121" s="52">
        <v>770.02859999999998</v>
      </c>
      <c r="L121" s="52">
        <v>256.67619999999999</v>
      </c>
      <c r="M121" s="52">
        <v>256.67619999999999</v>
      </c>
      <c r="N121" s="5" t="s">
        <v>69</v>
      </c>
    </row>
    <row r="122" spans="1:14" x14ac:dyDescent="0.25">
      <c r="A122" s="50">
        <v>0.91100000000000003</v>
      </c>
      <c r="B122" s="52">
        <v>2569.5825</v>
      </c>
      <c r="C122" s="52">
        <v>0</v>
      </c>
      <c r="D122" s="52">
        <v>192.71870000000001</v>
      </c>
      <c r="E122" s="52">
        <v>192.71870000000001</v>
      </c>
      <c r="F122" s="52">
        <v>0</v>
      </c>
      <c r="G122" s="52">
        <v>256.95830000000001</v>
      </c>
      <c r="H122" s="52">
        <v>128.47909999999999</v>
      </c>
      <c r="I122" s="52">
        <v>256.95830000000001</v>
      </c>
      <c r="J122" s="52">
        <v>256.95830000000001</v>
      </c>
      <c r="K122" s="52">
        <v>770.87480000000005</v>
      </c>
      <c r="L122" s="52">
        <v>256.95830000000001</v>
      </c>
      <c r="M122" s="52">
        <v>256.95830000000001</v>
      </c>
      <c r="N122" s="5" t="s">
        <v>69</v>
      </c>
    </row>
    <row r="123" spans="1:14" x14ac:dyDescent="0.25">
      <c r="A123" s="50">
        <v>0.91200000000000003</v>
      </c>
      <c r="B123" s="52">
        <v>2572.4032000000002</v>
      </c>
      <c r="C123" s="52">
        <v>0</v>
      </c>
      <c r="D123" s="52">
        <v>192.93020000000001</v>
      </c>
      <c r="E123" s="52">
        <v>192.93020000000001</v>
      </c>
      <c r="F123" s="52">
        <v>0</v>
      </c>
      <c r="G123" s="52">
        <v>257.24029999999999</v>
      </c>
      <c r="H123" s="52">
        <v>128.62020000000001</v>
      </c>
      <c r="I123" s="52">
        <v>257.24029999999999</v>
      </c>
      <c r="J123" s="52">
        <v>257.24029999999999</v>
      </c>
      <c r="K123" s="52">
        <v>771.72090000000003</v>
      </c>
      <c r="L123" s="52">
        <v>257.24029999999999</v>
      </c>
      <c r="M123" s="52">
        <v>257.24029999999999</v>
      </c>
      <c r="N123" s="5" t="s">
        <v>69</v>
      </c>
    </row>
    <row r="124" spans="1:14" x14ac:dyDescent="0.25">
      <c r="A124" s="50">
        <v>0.91300000000000003</v>
      </c>
      <c r="B124" s="52">
        <v>2575.2238000000002</v>
      </c>
      <c r="C124" s="52">
        <v>0</v>
      </c>
      <c r="D124" s="52">
        <v>193.14179999999999</v>
      </c>
      <c r="E124" s="52">
        <v>193.14179999999999</v>
      </c>
      <c r="F124" s="52">
        <v>0</v>
      </c>
      <c r="G124" s="52">
        <v>257.5224</v>
      </c>
      <c r="H124" s="52">
        <v>128.7612</v>
      </c>
      <c r="I124" s="52">
        <v>257.5224</v>
      </c>
      <c r="J124" s="52">
        <v>257.5224</v>
      </c>
      <c r="K124" s="52">
        <v>772.56709999999998</v>
      </c>
      <c r="L124" s="52">
        <v>257.5224</v>
      </c>
      <c r="M124" s="52">
        <v>257.5224</v>
      </c>
      <c r="N124" s="5" t="s">
        <v>69</v>
      </c>
    </row>
    <row r="125" spans="1:14" x14ac:dyDescent="0.25">
      <c r="A125" s="50">
        <v>0.91400000000000003</v>
      </c>
      <c r="B125" s="52">
        <v>2578.0444000000002</v>
      </c>
      <c r="C125" s="52">
        <v>0</v>
      </c>
      <c r="D125" s="52">
        <v>193.35329999999999</v>
      </c>
      <c r="E125" s="52">
        <v>193.35329999999999</v>
      </c>
      <c r="F125" s="52">
        <v>0</v>
      </c>
      <c r="G125" s="52">
        <v>257.80439999999999</v>
      </c>
      <c r="H125" s="52">
        <v>128.90219999999999</v>
      </c>
      <c r="I125" s="52">
        <v>257.80439999999999</v>
      </c>
      <c r="J125" s="52">
        <v>257.80439999999999</v>
      </c>
      <c r="K125" s="52">
        <v>773.41330000000005</v>
      </c>
      <c r="L125" s="52">
        <v>257.80439999999999</v>
      </c>
      <c r="M125" s="52">
        <v>257.80439999999999</v>
      </c>
      <c r="N125" s="5" t="s">
        <v>69</v>
      </c>
    </row>
    <row r="126" spans="1:14" x14ac:dyDescent="0.25">
      <c r="A126" s="50">
        <v>0.91500000000000004</v>
      </c>
      <c r="B126" s="52">
        <v>2580.8649999999998</v>
      </c>
      <c r="C126" s="52">
        <v>0</v>
      </c>
      <c r="D126" s="52">
        <v>193.56489999999999</v>
      </c>
      <c r="E126" s="52">
        <v>193.56489999999999</v>
      </c>
      <c r="F126" s="52">
        <v>0</v>
      </c>
      <c r="G126" s="52">
        <v>258.0865</v>
      </c>
      <c r="H126" s="52">
        <v>129.04329999999999</v>
      </c>
      <c r="I126" s="52">
        <v>258.0865</v>
      </c>
      <c r="J126" s="52">
        <v>258.0865</v>
      </c>
      <c r="K126" s="52">
        <v>774.2595</v>
      </c>
      <c r="L126" s="52">
        <v>258.0865</v>
      </c>
      <c r="M126" s="52">
        <v>258.0865</v>
      </c>
      <c r="N126" s="5" t="s">
        <v>69</v>
      </c>
    </row>
    <row r="127" spans="1:14" x14ac:dyDescent="0.25">
      <c r="A127" s="50">
        <v>0.91600000000000004</v>
      </c>
      <c r="B127" s="52">
        <v>2583.6855999999998</v>
      </c>
      <c r="C127" s="52">
        <v>0</v>
      </c>
      <c r="D127" s="52">
        <v>193.7764</v>
      </c>
      <c r="E127" s="52">
        <v>193.7764</v>
      </c>
      <c r="F127" s="52">
        <v>0</v>
      </c>
      <c r="G127" s="52">
        <v>258.36860000000001</v>
      </c>
      <c r="H127" s="52">
        <v>129.18430000000001</v>
      </c>
      <c r="I127" s="52">
        <v>258.36860000000001</v>
      </c>
      <c r="J127" s="52">
        <v>258.36860000000001</v>
      </c>
      <c r="K127" s="52">
        <v>775.10569999999996</v>
      </c>
      <c r="L127" s="52">
        <v>258.36860000000001</v>
      </c>
      <c r="M127" s="52">
        <v>258.36860000000001</v>
      </c>
      <c r="N127" s="5" t="s">
        <v>69</v>
      </c>
    </row>
    <row r="128" spans="1:14" x14ac:dyDescent="0.25">
      <c r="A128" s="50">
        <v>0.91700000000000004</v>
      </c>
      <c r="B128" s="52">
        <v>2586.5061999999998</v>
      </c>
      <c r="C128" s="52">
        <v>0</v>
      </c>
      <c r="D128" s="52">
        <v>193.988</v>
      </c>
      <c r="E128" s="52">
        <v>193.988</v>
      </c>
      <c r="F128" s="52">
        <v>0</v>
      </c>
      <c r="G128" s="52">
        <v>258.6506</v>
      </c>
      <c r="H128" s="52">
        <v>129.3253</v>
      </c>
      <c r="I128" s="52">
        <v>258.6506</v>
      </c>
      <c r="J128" s="52">
        <v>258.6506</v>
      </c>
      <c r="K128" s="52">
        <v>775.95190000000002</v>
      </c>
      <c r="L128" s="52">
        <v>258.6506</v>
      </c>
      <c r="M128" s="52">
        <v>258.6506</v>
      </c>
      <c r="N128" s="5" t="s">
        <v>69</v>
      </c>
    </row>
    <row r="129" spans="1:14" x14ac:dyDescent="0.25">
      <c r="A129" s="50">
        <v>0.91800000000000004</v>
      </c>
      <c r="B129" s="52">
        <v>2589.3269</v>
      </c>
      <c r="C129" s="52">
        <v>0</v>
      </c>
      <c r="D129" s="52">
        <v>194.1995</v>
      </c>
      <c r="E129" s="52">
        <v>194.1995</v>
      </c>
      <c r="F129" s="52">
        <v>0</v>
      </c>
      <c r="G129" s="52">
        <v>258.93270000000001</v>
      </c>
      <c r="H129" s="52">
        <v>129.46629999999999</v>
      </c>
      <c r="I129" s="52">
        <v>258.93270000000001</v>
      </c>
      <c r="J129" s="52">
        <v>258.93270000000001</v>
      </c>
      <c r="K129" s="52">
        <v>776.79809999999998</v>
      </c>
      <c r="L129" s="52">
        <v>258.93270000000001</v>
      </c>
      <c r="M129" s="52">
        <v>258.93270000000001</v>
      </c>
      <c r="N129" s="5" t="s">
        <v>69</v>
      </c>
    </row>
    <row r="130" spans="1:14" x14ac:dyDescent="0.25">
      <c r="A130" s="50">
        <v>0.91900000000000004</v>
      </c>
      <c r="B130" s="52">
        <v>2592.1475</v>
      </c>
      <c r="C130" s="52">
        <v>0</v>
      </c>
      <c r="D130" s="52">
        <v>194.4111</v>
      </c>
      <c r="E130" s="52">
        <v>194.4111</v>
      </c>
      <c r="F130" s="52">
        <v>0</v>
      </c>
      <c r="G130" s="52">
        <v>259.21469999999999</v>
      </c>
      <c r="H130" s="52">
        <v>129.60740000000001</v>
      </c>
      <c r="I130" s="52">
        <v>259.21469999999999</v>
      </c>
      <c r="J130" s="52">
        <v>259.21469999999999</v>
      </c>
      <c r="K130" s="52">
        <v>777.64419999999996</v>
      </c>
      <c r="L130" s="52">
        <v>259.21469999999999</v>
      </c>
      <c r="M130" s="52">
        <v>259.21469999999999</v>
      </c>
      <c r="N130" s="5" t="s">
        <v>69</v>
      </c>
    </row>
    <row r="131" spans="1:14" x14ac:dyDescent="0.25">
      <c r="A131" s="50">
        <v>0.92</v>
      </c>
      <c r="B131" s="52">
        <v>2594.9681</v>
      </c>
      <c r="C131" s="52">
        <v>0</v>
      </c>
      <c r="D131" s="52">
        <v>194.62260000000001</v>
      </c>
      <c r="E131" s="52">
        <v>194.62260000000001</v>
      </c>
      <c r="F131" s="52">
        <v>0</v>
      </c>
      <c r="G131" s="52">
        <v>259.49680000000001</v>
      </c>
      <c r="H131" s="52">
        <v>129.7484</v>
      </c>
      <c r="I131" s="52">
        <v>259.49680000000001</v>
      </c>
      <c r="J131" s="52">
        <v>259.49680000000001</v>
      </c>
      <c r="K131" s="52">
        <v>778.49040000000002</v>
      </c>
      <c r="L131" s="52">
        <v>259.49680000000001</v>
      </c>
      <c r="M131" s="52">
        <v>259.49680000000001</v>
      </c>
      <c r="N131" s="5" t="s">
        <v>69</v>
      </c>
    </row>
    <row r="132" spans="1:14" x14ac:dyDescent="0.25">
      <c r="A132" s="50">
        <v>0.92100000000000004</v>
      </c>
      <c r="B132" s="52">
        <v>2597.7887000000001</v>
      </c>
      <c r="C132" s="52">
        <v>0</v>
      </c>
      <c r="D132" s="52">
        <v>194.83420000000001</v>
      </c>
      <c r="E132" s="52">
        <v>194.83420000000001</v>
      </c>
      <c r="F132" s="52">
        <v>0</v>
      </c>
      <c r="G132" s="52">
        <v>259.77890000000002</v>
      </c>
      <c r="H132" s="52">
        <v>129.88939999999999</v>
      </c>
      <c r="I132" s="52">
        <v>259.77890000000002</v>
      </c>
      <c r="J132" s="52">
        <v>259.77890000000002</v>
      </c>
      <c r="K132" s="52">
        <v>779.33659999999998</v>
      </c>
      <c r="L132" s="52">
        <v>259.77890000000002</v>
      </c>
      <c r="M132" s="52">
        <v>259.77890000000002</v>
      </c>
      <c r="N132" s="5" t="s">
        <v>69</v>
      </c>
    </row>
    <row r="133" spans="1:14" x14ac:dyDescent="0.25">
      <c r="A133" s="50">
        <v>0.92200000000000004</v>
      </c>
      <c r="B133" s="52">
        <v>2600.6093000000001</v>
      </c>
      <c r="C133" s="52">
        <v>0</v>
      </c>
      <c r="D133" s="52">
        <v>195.04570000000001</v>
      </c>
      <c r="E133" s="52">
        <v>195.04570000000001</v>
      </c>
      <c r="F133" s="52">
        <v>0</v>
      </c>
      <c r="G133" s="52">
        <v>260.0609</v>
      </c>
      <c r="H133" s="52">
        <v>130.03049999999999</v>
      </c>
      <c r="I133" s="52">
        <v>260.0609</v>
      </c>
      <c r="J133" s="52">
        <v>260.0609</v>
      </c>
      <c r="K133" s="52">
        <v>780.18280000000004</v>
      </c>
      <c r="L133" s="52">
        <v>260.0609</v>
      </c>
      <c r="M133" s="52">
        <v>260.0609</v>
      </c>
      <c r="N133" s="5" t="s">
        <v>69</v>
      </c>
    </row>
    <row r="134" spans="1:14" x14ac:dyDescent="0.25">
      <c r="A134" s="50">
        <v>0.92300000000000004</v>
      </c>
      <c r="B134" s="52">
        <v>2603.4299000000001</v>
      </c>
      <c r="C134" s="52">
        <v>0</v>
      </c>
      <c r="D134" s="52">
        <v>195.25720000000001</v>
      </c>
      <c r="E134" s="52">
        <v>195.25720000000001</v>
      </c>
      <c r="F134" s="52">
        <v>0</v>
      </c>
      <c r="G134" s="52">
        <v>260.34300000000002</v>
      </c>
      <c r="H134" s="52">
        <v>130.17150000000001</v>
      </c>
      <c r="I134" s="52">
        <v>260.34300000000002</v>
      </c>
      <c r="J134" s="52">
        <v>260.34300000000002</v>
      </c>
      <c r="K134" s="52">
        <v>781.029</v>
      </c>
      <c r="L134" s="52">
        <v>260.34300000000002</v>
      </c>
      <c r="M134" s="52">
        <v>260.34300000000002</v>
      </c>
      <c r="N134" s="5" t="s">
        <v>69</v>
      </c>
    </row>
    <row r="135" spans="1:14" x14ac:dyDescent="0.25">
      <c r="A135" s="50">
        <v>0.92400000000000004</v>
      </c>
      <c r="B135" s="52">
        <v>2606.2505999999998</v>
      </c>
      <c r="C135" s="52">
        <v>0</v>
      </c>
      <c r="D135" s="52">
        <v>195.46879999999999</v>
      </c>
      <c r="E135" s="52">
        <v>195.46879999999999</v>
      </c>
      <c r="F135" s="52">
        <v>0</v>
      </c>
      <c r="G135" s="52">
        <v>260.62509999999997</v>
      </c>
      <c r="H135" s="52">
        <v>130.3125</v>
      </c>
      <c r="I135" s="52">
        <v>260.62509999999997</v>
      </c>
      <c r="J135" s="52">
        <v>260.62509999999997</v>
      </c>
      <c r="K135" s="52">
        <v>781.87519999999995</v>
      </c>
      <c r="L135" s="52">
        <v>260.62509999999997</v>
      </c>
      <c r="M135" s="52">
        <v>260.62509999999997</v>
      </c>
      <c r="N135" s="5" t="s">
        <v>69</v>
      </c>
    </row>
    <row r="136" spans="1:14" x14ac:dyDescent="0.25">
      <c r="A136" s="50">
        <v>0.92500000000000004</v>
      </c>
      <c r="B136" s="52">
        <v>2609.0711999999999</v>
      </c>
      <c r="C136" s="52">
        <v>0</v>
      </c>
      <c r="D136" s="52">
        <v>195.68029999999999</v>
      </c>
      <c r="E136" s="52">
        <v>195.68029999999999</v>
      </c>
      <c r="F136" s="52">
        <v>0</v>
      </c>
      <c r="G136" s="52">
        <v>260.90710000000001</v>
      </c>
      <c r="H136" s="52">
        <v>130.45359999999999</v>
      </c>
      <c r="I136" s="52">
        <v>260.90710000000001</v>
      </c>
      <c r="J136" s="52">
        <v>260.90710000000001</v>
      </c>
      <c r="K136" s="52">
        <v>782.72140000000002</v>
      </c>
      <c r="L136" s="52">
        <v>260.90710000000001</v>
      </c>
      <c r="M136" s="52">
        <v>260.90710000000001</v>
      </c>
      <c r="N136" s="5" t="s">
        <v>69</v>
      </c>
    </row>
    <row r="137" spans="1:14" x14ac:dyDescent="0.25">
      <c r="A137" s="50">
        <v>0.92600000000000005</v>
      </c>
      <c r="B137" s="52">
        <v>2611.8917999999999</v>
      </c>
      <c r="C137" s="52">
        <v>0</v>
      </c>
      <c r="D137" s="52">
        <v>195.89189999999999</v>
      </c>
      <c r="E137" s="52">
        <v>195.89189999999999</v>
      </c>
      <c r="F137" s="52">
        <v>0</v>
      </c>
      <c r="G137" s="52">
        <v>261.18920000000003</v>
      </c>
      <c r="H137" s="52">
        <v>130.59460000000001</v>
      </c>
      <c r="I137" s="52">
        <v>261.18920000000003</v>
      </c>
      <c r="J137" s="52">
        <v>261.18920000000003</v>
      </c>
      <c r="K137" s="52">
        <v>783.5675</v>
      </c>
      <c r="L137" s="52">
        <v>261.18920000000003</v>
      </c>
      <c r="M137" s="52">
        <v>261.18920000000003</v>
      </c>
      <c r="N137" s="5" t="s">
        <v>69</v>
      </c>
    </row>
    <row r="138" spans="1:14" x14ac:dyDescent="0.25">
      <c r="A138" s="50">
        <v>0.92700000000000005</v>
      </c>
      <c r="B138" s="52">
        <v>2614.7123999999999</v>
      </c>
      <c r="C138" s="52">
        <v>0</v>
      </c>
      <c r="D138" s="52">
        <v>196.10339999999999</v>
      </c>
      <c r="E138" s="52">
        <v>196.10339999999999</v>
      </c>
      <c r="F138" s="52">
        <v>0</v>
      </c>
      <c r="G138" s="52">
        <v>261.47120000000001</v>
      </c>
      <c r="H138" s="52">
        <v>130.73560000000001</v>
      </c>
      <c r="I138" s="52">
        <v>261.47120000000001</v>
      </c>
      <c r="J138" s="52">
        <v>261.47120000000001</v>
      </c>
      <c r="K138" s="52">
        <v>784.41369999999995</v>
      </c>
      <c r="L138" s="52">
        <v>261.47120000000001</v>
      </c>
      <c r="M138" s="52">
        <v>261.47120000000001</v>
      </c>
      <c r="N138" s="5" t="s">
        <v>69</v>
      </c>
    </row>
    <row r="139" spans="1:14" x14ac:dyDescent="0.25">
      <c r="A139" s="50">
        <v>0.92800000000000005</v>
      </c>
      <c r="B139" s="52">
        <v>2617.5329999999999</v>
      </c>
      <c r="C139" s="52">
        <v>0</v>
      </c>
      <c r="D139" s="52">
        <v>196.315</v>
      </c>
      <c r="E139" s="52">
        <v>196.315</v>
      </c>
      <c r="F139" s="52">
        <v>0</v>
      </c>
      <c r="G139" s="52">
        <v>261.75330000000002</v>
      </c>
      <c r="H139" s="52">
        <v>130.8767</v>
      </c>
      <c r="I139" s="52">
        <v>261.75330000000002</v>
      </c>
      <c r="J139" s="52">
        <v>261.75330000000002</v>
      </c>
      <c r="K139" s="52">
        <v>785.25990000000002</v>
      </c>
      <c r="L139" s="52">
        <v>261.75330000000002</v>
      </c>
      <c r="M139" s="52">
        <v>261.75330000000002</v>
      </c>
      <c r="N139" s="5" t="s">
        <v>69</v>
      </c>
    </row>
    <row r="140" spans="1:14" x14ac:dyDescent="0.25">
      <c r="A140" s="50">
        <v>0.92900000000000005</v>
      </c>
      <c r="B140" s="52">
        <v>2620.3537000000001</v>
      </c>
      <c r="C140" s="52">
        <v>0</v>
      </c>
      <c r="D140" s="52">
        <v>196.5265</v>
      </c>
      <c r="E140" s="52">
        <v>196.5265</v>
      </c>
      <c r="F140" s="52">
        <v>0</v>
      </c>
      <c r="G140" s="52">
        <v>262.03539999999998</v>
      </c>
      <c r="H140" s="52">
        <v>131.01769999999999</v>
      </c>
      <c r="I140" s="52">
        <v>262.03539999999998</v>
      </c>
      <c r="J140" s="52">
        <v>262.03539999999998</v>
      </c>
      <c r="K140" s="52">
        <v>786.10609999999997</v>
      </c>
      <c r="L140" s="52">
        <v>262.03539999999998</v>
      </c>
      <c r="M140" s="52">
        <v>262.03539999999998</v>
      </c>
      <c r="N140" s="5" t="s">
        <v>69</v>
      </c>
    </row>
    <row r="141" spans="1:14" x14ac:dyDescent="0.25">
      <c r="A141" s="50">
        <v>0.93</v>
      </c>
      <c r="B141" s="52">
        <v>2623.1743000000001</v>
      </c>
      <c r="C141" s="52">
        <v>0</v>
      </c>
      <c r="D141" s="52">
        <v>196.7381</v>
      </c>
      <c r="E141" s="52">
        <v>196.7381</v>
      </c>
      <c r="F141" s="52">
        <v>0</v>
      </c>
      <c r="G141" s="52">
        <v>262.31740000000002</v>
      </c>
      <c r="H141" s="52">
        <v>131.15870000000001</v>
      </c>
      <c r="I141" s="52">
        <v>262.31740000000002</v>
      </c>
      <c r="J141" s="52">
        <v>262.31740000000002</v>
      </c>
      <c r="K141" s="52">
        <v>786.95230000000004</v>
      </c>
      <c r="L141" s="52">
        <v>262.31740000000002</v>
      </c>
      <c r="M141" s="52">
        <v>262.31740000000002</v>
      </c>
      <c r="N141" s="5" t="s">
        <v>69</v>
      </c>
    </row>
    <row r="142" spans="1:14" x14ac:dyDescent="0.25">
      <c r="A142" s="50">
        <v>0.93100000000000005</v>
      </c>
      <c r="B142" s="52">
        <v>2625.9949000000001</v>
      </c>
      <c r="C142" s="52">
        <v>0</v>
      </c>
      <c r="D142" s="52">
        <v>196.9496</v>
      </c>
      <c r="E142" s="52">
        <v>196.9496</v>
      </c>
      <c r="F142" s="52">
        <v>0</v>
      </c>
      <c r="G142" s="52">
        <v>262.59949999999998</v>
      </c>
      <c r="H142" s="52">
        <v>131.2997</v>
      </c>
      <c r="I142" s="52">
        <v>262.59949999999998</v>
      </c>
      <c r="J142" s="52">
        <v>262.59949999999998</v>
      </c>
      <c r="K142" s="52">
        <v>787.79849999999999</v>
      </c>
      <c r="L142" s="52">
        <v>262.59949999999998</v>
      </c>
      <c r="M142" s="52">
        <v>262.59949999999998</v>
      </c>
      <c r="N142" s="5" t="s">
        <v>69</v>
      </c>
    </row>
    <row r="143" spans="1:14" x14ac:dyDescent="0.25">
      <c r="A143" s="50">
        <v>0.93200000000000005</v>
      </c>
      <c r="B143" s="52">
        <v>2628.8155000000002</v>
      </c>
      <c r="C143" s="52">
        <v>0</v>
      </c>
      <c r="D143" s="52">
        <v>197.16120000000001</v>
      </c>
      <c r="E143" s="52">
        <v>197.16120000000001</v>
      </c>
      <c r="F143" s="52">
        <v>0</v>
      </c>
      <c r="G143" s="52">
        <v>262.88159999999999</v>
      </c>
      <c r="H143" s="52">
        <v>131.4408</v>
      </c>
      <c r="I143" s="52">
        <v>262.88159999999999</v>
      </c>
      <c r="J143" s="52">
        <v>262.88159999999999</v>
      </c>
      <c r="K143" s="52">
        <v>788.64469999999994</v>
      </c>
      <c r="L143" s="52">
        <v>262.88159999999999</v>
      </c>
      <c r="M143" s="52">
        <v>262.88159999999999</v>
      </c>
      <c r="N143" s="5" t="s">
        <v>69</v>
      </c>
    </row>
    <row r="144" spans="1:14" x14ac:dyDescent="0.25">
      <c r="A144" s="50">
        <v>0.93300000000000005</v>
      </c>
      <c r="B144" s="52">
        <v>2631.6361000000002</v>
      </c>
      <c r="C144" s="52">
        <v>0</v>
      </c>
      <c r="D144" s="52">
        <v>197.37270000000001</v>
      </c>
      <c r="E144" s="52">
        <v>197.37270000000001</v>
      </c>
      <c r="F144" s="52">
        <v>0</v>
      </c>
      <c r="G144" s="52">
        <v>263.16359999999997</v>
      </c>
      <c r="H144" s="52">
        <v>131.58179999999999</v>
      </c>
      <c r="I144" s="52">
        <v>263.16359999999997</v>
      </c>
      <c r="J144" s="52">
        <v>263.16359999999997</v>
      </c>
      <c r="K144" s="52">
        <v>789.49080000000004</v>
      </c>
      <c r="L144" s="52">
        <v>263.16359999999997</v>
      </c>
      <c r="M144" s="52">
        <v>263.16359999999997</v>
      </c>
      <c r="N144" s="5" t="s">
        <v>69</v>
      </c>
    </row>
    <row r="145" spans="1:14" x14ac:dyDescent="0.25">
      <c r="A145" s="50">
        <v>0.93400000000000005</v>
      </c>
      <c r="B145" s="52">
        <v>2634.4567000000002</v>
      </c>
      <c r="C145" s="52">
        <v>0</v>
      </c>
      <c r="D145" s="52">
        <v>197.58430000000001</v>
      </c>
      <c r="E145" s="52">
        <v>197.58430000000001</v>
      </c>
      <c r="F145" s="52">
        <v>0</v>
      </c>
      <c r="G145" s="52">
        <v>263.44569999999999</v>
      </c>
      <c r="H145" s="52">
        <v>131.72280000000001</v>
      </c>
      <c r="I145" s="52">
        <v>263.44569999999999</v>
      </c>
      <c r="J145" s="52">
        <v>263.44569999999999</v>
      </c>
      <c r="K145" s="52">
        <v>790.33699999999999</v>
      </c>
      <c r="L145" s="52">
        <v>263.44569999999999</v>
      </c>
      <c r="M145" s="52">
        <v>263.44569999999999</v>
      </c>
      <c r="N145" s="5" t="s">
        <v>69</v>
      </c>
    </row>
    <row r="146" spans="1:14" x14ac:dyDescent="0.25">
      <c r="A146" s="50">
        <v>0.93500000000000005</v>
      </c>
      <c r="B146" s="52">
        <v>2637.2773999999999</v>
      </c>
      <c r="C146" s="52">
        <v>0</v>
      </c>
      <c r="D146" s="52">
        <v>197.79580000000001</v>
      </c>
      <c r="E146" s="52">
        <v>197.79580000000001</v>
      </c>
      <c r="F146" s="52">
        <v>0</v>
      </c>
      <c r="G146" s="52">
        <v>263.72770000000003</v>
      </c>
      <c r="H146" s="52">
        <v>131.8639</v>
      </c>
      <c r="I146" s="52">
        <v>263.72770000000003</v>
      </c>
      <c r="J146" s="52">
        <v>263.72770000000003</v>
      </c>
      <c r="K146" s="52">
        <v>791.18320000000006</v>
      </c>
      <c r="L146" s="52">
        <v>263.72770000000003</v>
      </c>
      <c r="M146" s="52">
        <v>263.72770000000003</v>
      </c>
      <c r="N146" s="5" t="s">
        <v>69</v>
      </c>
    </row>
    <row r="147" spans="1:14" x14ac:dyDescent="0.25">
      <c r="A147" s="50">
        <v>0.93600000000000005</v>
      </c>
      <c r="B147" s="52">
        <v>2640.098</v>
      </c>
      <c r="C147" s="52">
        <v>0</v>
      </c>
      <c r="D147" s="52">
        <v>198.00729999999999</v>
      </c>
      <c r="E147" s="52">
        <v>198.00729999999999</v>
      </c>
      <c r="F147" s="52">
        <v>0</v>
      </c>
      <c r="G147" s="52">
        <v>264.00979999999998</v>
      </c>
      <c r="H147" s="52">
        <v>132.00489999999999</v>
      </c>
      <c r="I147" s="52">
        <v>264.00979999999998</v>
      </c>
      <c r="J147" s="52">
        <v>264.00979999999998</v>
      </c>
      <c r="K147" s="52">
        <v>792.02940000000001</v>
      </c>
      <c r="L147" s="52">
        <v>264.00979999999998</v>
      </c>
      <c r="M147" s="52">
        <v>264.00979999999998</v>
      </c>
      <c r="N147" s="5" t="s">
        <v>69</v>
      </c>
    </row>
    <row r="148" spans="1:14" x14ac:dyDescent="0.25">
      <c r="A148" s="50">
        <v>0.93700000000000006</v>
      </c>
      <c r="B148" s="52">
        <v>2642.9186</v>
      </c>
      <c r="C148" s="52">
        <v>0</v>
      </c>
      <c r="D148" s="52">
        <v>198.21889999999999</v>
      </c>
      <c r="E148" s="52">
        <v>198.21889999999999</v>
      </c>
      <c r="F148" s="52">
        <v>0</v>
      </c>
      <c r="G148" s="52">
        <v>264.2919</v>
      </c>
      <c r="H148" s="52">
        <v>132.14590000000001</v>
      </c>
      <c r="I148" s="52">
        <v>264.2919</v>
      </c>
      <c r="J148" s="52">
        <v>264.2919</v>
      </c>
      <c r="K148" s="52">
        <v>792.87559999999996</v>
      </c>
      <c r="L148" s="52">
        <v>264.2919</v>
      </c>
      <c r="M148" s="52">
        <v>264.2919</v>
      </c>
      <c r="N148" s="5" t="s">
        <v>69</v>
      </c>
    </row>
    <row r="149" spans="1:14" x14ac:dyDescent="0.25">
      <c r="A149" s="50">
        <v>0.93799999999999994</v>
      </c>
      <c r="B149" s="52">
        <v>2645.7392</v>
      </c>
      <c r="C149" s="52">
        <v>0</v>
      </c>
      <c r="D149" s="52">
        <v>198.43039999999999</v>
      </c>
      <c r="E149" s="52">
        <v>198.43039999999999</v>
      </c>
      <c r="F149" s="52">
        <v>0</v>
      </c>
      <c r="G149" s="52">
        <v>264.57389999999998</v>
      </c>
      <c r="H149" s="52">
        <v>132.28700000000001</v>
      </c>
      <c r="I149" s="52">
        <v>264.57389999999998</v>
      </c>
      <c r="J149" s="52">
        <v>264.57389999999998</v>
      </c>
      <c r="K149" s="52">
        <v>793.72180000000003</v>
      </c>
      <c r="L149" s="52">
        <v>264.57389999999998</v>
      </c>
      <c r="M149" s="52">
        <v>264.57389999999998</v>
      </c>
      <c r="N149" s="5" t="s">
        <v>69</v>
      </c>
    </row>
    <row r="150" spans="1:14" x14ac:dyDescent="0.25">
      <c r="A150" s="50">
        <v>0.93899999999999995</v>
      </c>
      <c r="B150" s="52">
        <v>2648.5598</v>
      </c>
      <c r="C150" s="52">
        <v>0</v>
      </c>
      <c r="D150" s="52">
        <v>198.642</v>
      </c>
      <c r="E150" s="52">
        <v>198.642</v>
      </c>
      <c r="F150" s="52">
        <v>0</v>
      </c>
      <c r="G150" s="52">
        <v>264.85599999999999</v>
      </c>
      <c r="H150" s="52">
        <v>132.428</v>
      </c>
      <c r="I150" s="52">
        <v>264.85599999999999</v>
      </c>
      <c r="J150" s="52">
        <v>264.85599999999999</v>
      </c>
      <c r="K150" s="52">
        <v>794.56790000000001</v>
      </c>
      <c r="L150" s="52">
        <v>264.85599999999999</v>
      </c>
      <c r="M150" s="52">
        <v>264.85599999999999</v>
      </c>
      <c r="N150" s="5" t="s">
        <v>69</v>
      </c>
    </row>
    <row r="151" spans="1:14" x14ac:dyDescent="0.25">
      <c r="A151" s="50">
        <v>0.94</v>
      </c>
      <c r="B151" s="52">
        <v>2651.3804</v>
      </c>
      <c r="C151" s="52">
        <v>0</v>
      </c>
      <c r="D151" s="52">
        <v>198.8535</v>
      </c>
      <c r="E151" s="52">
        <v>198.8535</v>
      </c>
      <c r="F151" s="52">
        <v>0</v>
      </c>
      <c r="G151" s="52">
        <v>265.13799999999998</v>
      </c>
      <c r="H151" s="52">
        <v>132.56899999999999</v>
      </c>
      <c r="I151" s="52">
        <v>265.13799999999998</v>
      </c>
      <c r="J151" s="52">
        <v>265.13799999999998</v>
      </c>
      <c r="K151" s="52">
        <v>795.41409999999996</v>
      </c>
      <c r="L151" s="52">
        <v>265.13799999999998</v>
      </c>
      <c r="M151" s="52">
        <v>265.13799999999998</v>
      </c>
      <c r="N151" s="5" t="s">
        <v>69</v>
      </c>
    </row>
    <row r="152" spans="1:14" x14ac:dyDescent="0.25">
      <c r="A152" s="50">
        <v>0.94099999999999995</v>
      </c>
      <c r="B152" s="52">
        <v>2654.2011000000002</v>
      </c>
      <c r="C152" s="52">
        <v>0</v>
      </c>
      <c r="D152" s="52">
        <v>199.0651</v>
      </c>
      <c r="E152" s="52">
        <v>199.0651</v>
      </c>
      <c r="F152" s="52">
        <v>0</v>
      </c>
      <c r="G152" s="52">
        <v>265.42009999999999</v>
      </c>
      <c r="H152" s="52">
        <v>132.71010000000001</v>
      </c>
      <c r="I152" s="52">
        <v>265.42009999999999</v>
      </c>
      <c r="J152" s="52">
        <v>265.42009999999999</v>
      </c>
      <c r="K152" s="52">
        <v>796.26030000000003</v>
      </c>
      <c r="L152" s="52">
        <v>265.42009999999999</v>
      </c>
      <c r="M152" s="52">
        <v>265.42009999999999</v>
      </c>
      <c r="N152" s="5" t="s">
        <v>69</v>
      </c>
    </row>
    <row r="153" spans="1:14" x14ac:dyDescent="0.25">
      <c r="A153" s="50">
        <v>0.94199999999999995</v>
      </c>
      <c r="B153" s="52">
        <v>2657.0216999999998</v>
      </c>
      <c r="C153" s="52">
        <v>0</v>
      </c>
      <c r="D153" s="52">
        <v>199.2766</v>
      </c>
      <c r="E153" s="52">
        <v>199.2766</v>
      </c>
      <c r="F153" s="52">
        <v>0</v>
      </c>
      <c r="G153" s="52">
        <v>265.7022</v>
      </c>
      <c r="H153" s="52">
        <v>132.8511</v>
      </c>
      <c r="I153" s="52">
        <v>265.7022</v>
      </c>
      <c r="J153" s="52">
        <v>265.7022</v>
      </c>
      <c r="K153" s="52">
        <v>797.10649999999998</v>
      </c>
      <c r="L153" s="52">
        <v>265.7022</v>
      </c>
      <c r="M153" s="52">
        <v>265.7022</v>
      </c>
      <c r="N153" s="5" t="s">
        <v>69</v>
      </c>
    </row>
    <row r="154" spans="1:14" x14ac:dyDescent="0.25">
      <c r="A154" s="50">
        <v>0.94299999999999995</v>
      </c>
      <c r="B154" s="52">
        <v>2659.8422999999998</v>
      </c>
      <c r="C154" s="52">
        <v>0</v>
      </c>
      <c r="D154" s="52">
        <v>199.48820000000001</v>
      </c>
      <c r="E154" s="52">
        <v>199.48820000000001</v>
      </c>
      <c r="F154" s="52">
        <v>0</v>
      </c>
      <c r="G154" s="52">
        <v>265.98419999999999</v>
      </c>
      <c r="H154" s="52">
        <v>132.99209999999999</v>
      </c>
      <c r="I154" s="52">
        <v>265.98419999999999</v>
      </c>
      <c r="J154" s="52">
        <v>265.98419999999999</v>
      </c>
      <c r="K154" s="52">
        <v>797.95270000000005</v>
      </c>
      <c r="L154" s="52">
        <v>265.98419999999999</v>
      </c>
      <c r="M154" s="52">
        <v>265.98419999999999</v>
      </c>
      <c r="N154" s="5" t="s">
        <v>69</v>
      </c>
    </row>
    <row r="155" spans="1:14" x14ac:dyDescent="0.25">
      <c r="A155" s="50">
        <v>0.94399999999999995</v>
      </c>
      <c r="B155" s="52">
        <v>2662.6628999999998</v>
      </c>
      <c r="C155" s="52">
        <v>0</v>
      </c>
      <c r="D155" s="52">
        <v>199.69970000000001</v>
      </c>
      <c r="E155" s="52">
        <v>199.69970000000001</v>
      </c>
      <c r="F155" s="52">
        <v>0</v>
      </c>
      <c r="G155" s="52">
        <v>266.2663</v>
      </c>
      <c r="H155" s="52">
        <v>133.13310000000001</v>
      </c>
      <c r="I155" s="52">
        <v>266.2663</v>
      </c>
      <c r="J155" s="52">
        <v>266.2663</v>
      </c>
      <c r="K155" s="52">
        <v>798.7989</v>
      </c>
      <c r="L155" s="52">
        <v>266.2663</v>
      </c>
      <c r="M155" s="52">
        <v>266.2663</v>
      </c>
      <c r="N155" s="5" t="s">
        <v>69</v>
      </c>
    </row>
    <row r="156" spans="1:14" x14ac:dyDescent="0.25">
      <c r="A156" s="50">
        <v>0.94499999999999995</v>
      </c>
      <c r="B156" s="52">
        <v>2665.4834999999998</v>
      </c>
      <c r="C156" s="52">
        <v>0</v>
      </c>
      <c r="D156" s="52">
        <v>199.91130000000001</v>
      </c>
      <c r="E156" s="52">
        <v>199.91130000000001</v>
      </c>
      <c r="F156" s="52">
        <v>0</v>
      </c>
      <c r="G156" s="52">
        <v>266.54840000000002</v>
      </c>
      <c r="H156" s="52">
        <v>133.27420000000001</v>
      </c>
      <c r="I156" s="52">
        <v>266.54840000000002</v>
      </c>
      <c r="J156" s="52">
        <v>266.54840000000002</v>
      </c>
      <c r="K156" s="52">
        <v>799.64509999999996</v>
      </c>
      <c r="L156" s="52">
        <v>266.54840000000002</v>
      </c>
      <c r="M156" s="52">
        <v>266.54840000000002</v>
      </c>
      <c r="N156" s="5" t="s">
        <v>69</v>
      </c>
    </row>
    <row r="157" spans="1:14" x14ac:dyDescent="0.25">
      <c r="A157" s="50">
        <v>0.94599999999999995</v>
      </c>
      <c r="B157" s="52">
        <v>2668.3040999999998</v>
      </c>
      <c r="C157" s="52">
        <v>0</v>
      </c>
      <c r="D157" s="52">
        <v>200.12280000000001</v>
      </c>
      <c r="E157" s="52">
        <v>200.12280000000001</v>
      </c>
      <c r="F157" s="52">
        <v>0</v>
      </c>
      <c r="G157" s="52">
        <v>266.8304</v>
      </c>
      <c r="H157" s="52">
        <v>133.4152</v>
      </c>
      <c r="I157" s="52">
        <v>266.8304</v>
      </c>
      <c r="J157" s="52">
        <v>266.8304</v>
      </c>
      <c r="K157" s="52">
        <v>800.49120000000005</v>
      </c>
      <c r="L157" s="52">
        <v>266.8304</v>
      </c>
      <c r="M157" s="52">
        <v>266.8304</v>
      </c>
      <c r="N157" s="5" t="s">
        <v>69</v>
      </c>
    </row>
    <row r="158" spans="1:14" x14ac:dyDescent="0.25">
      <c r="A158" s="50">
        <v>0.94699999999999995</v>
      </c>
      <c r="B158" s="52">
        <v>2671.1248000000001</v>
      </c>
      <c r="C158" s="52">
        <v>0</v>
      </c>
      <c r="D158" s="52">
        <v>200.33439999999999</v>
      </c>
      <c r="E158" s="52">
        <v>200.33439999999999</v>
      </c>
      <c r="F158" s="52">
        <v>0</v>
      </c>
      <c r="G158" s="52">
        <v>267.11250000000001</v>
      </c>
      <c r="H158" s="52">
        <v>133.55619999999999</v>
      </c>
      <c r="I158" s="52">
        <v>267.11250000000001</v>
      </c>
      <c r="J158" s="52">
        <v>267.11250000000001</v>
      </c>
      <c r="K158" s="52">
        <v>801.3374</v>
      </c>
      <c r="L158" s="52">
        <v>267.11250000000001</v>
      </c>
      <c r="M158" s="52">
        <v>267.11250000000001</v>
      </c>
      <c r="N158" s="5" t="s">
        <v>69</v>
      </c>
    </row>
    <row r="159" spans="1:14" x14ac:dyDescent="0.25">
      <c r="A159" s="50">
        <v>0.94799999999999995</v>
      </c>
      <c r="B159" s="52">
        <v>2673.9454000000001</v>
      </c>
      <c r="C159" s="52">
        <v>0</v>
      </c>
      <c r="D159" s="52">
        <v>200.54589999999999</v>
      </c>
      <c r="E159" s="52">
        <v>200.54589999999999</v>
      </c>
      <c r="F159" s="52">
        <v>0</v>
      </c>
      <c r="G159" s="52">
        <v>267.39449999999999</v>
      </c>
      <c r="H159" s="52">
        <v>133.69730000000001</v>
      </c>
      <c r="I159" s="52">
        <v>267.39449999999999</v>
      </c>
      <c r="J159" s="52">
        <v>267.39449999999999</v>
      </c>
      <c r="K159" s="52">
        <v>802.18359999999996</v>
      </c>
      <c r="L159" s="52">
        <v>267.39449999999999</v>
      </c>
      <c r="M159" s="52">
        <v>267.39449999999999</v>
      </c>
      <c r="N159" s="5" t="s">
        <v>69</v>
      </c>
    </row>
    <row r="160" spans="1:14" x14ac:dyDescent="0.25">
      <c r="A160" s="50">
        <v>0.94899999999999995</v>
      </c>
      <c r="B160" s="52">
        <v>2676.7660000000001</v>
      </c>
      <c r="C160" s="52">
        <v>0</v>
      </c>
      <c r="D160" s="52">
        <v>200.75749999999999</v>
      </c>
      <c r="E160" s="52">
        <v>200.75749999999999</v>
      </c>
      <c r="F160" s="52">
        <v>0</v>
      </c>
      <c r="G160" s="52">
        <v>267.67660000000001</v>
      </c>
      <c r="H160" s="52">
        <v>133.8383</v>
      </c>
      <c r="I160" s="52">
        <v>267.67660000000001</v>
      </c>
      <c r="J160" s="52">
        <v>267.67660000000001</v>
      </c>
      <c r="K160" s="52">
        <v>803.02980000000002</v>
      </c>
      <c r="L160" s="52">
        <v>267.67660000000001</v>
      </c>
      <c r="M160" s="52">
        <v>267.67660000000001</v>
      </c>
      <c r="N160" s="5" t="s">
        <v>69</v>
      </c>
    </row>
    <row r="161" spans="1:14" x14ac:dyDescent="0.25">
      <c r="A161" s="50">
        <v>0.95</v>
      </c>
      <c r="B161" s="52">
        <v>2679.5866000000001</v>
      </c>
      <c r="C161" s="52">
        <v>0</v>
      </c>
      <c r="D161" s="52">
        <v>200.96899999999999</v>
      </c>
      <c r="E161" s="52">
        <v>200.96899999999999</v>
      </c>
      <c r="F161" s="52">
        <v>0</v>
      </c>
      <c r="G161" s="52">
        <v>267.95870000000002</v>
      </c>
      <c r="H161" s="52">
        <v>133.97929999999999</v>
      </c>
      <c r="I161" s="52">
        <v>267.95870000000002</v>
      </c>
      <c r="J161" s="52">
        <v>267.95870000000002</v>
      </c>
      <c r="K161" s="52">
        <v>803.87599999999998</v>
      </c>
      <c r="L161" s="52">
        <v>267.95870000000002</v>
      </c>
      <c r="M161" s="52">
        <v>267.95870000000002</v>
      </c>
      <c r="N161" s="5" t="s">
        <v>69</v>
      </c>
    </row>
    <row r="162" spans="1:14" x14ac:dyDescent="0.25">
      <c r="A162" s="50">
        <v>0.95099999999999996</v>
      </c>
      <c r="B162" s="52">
        <v>2682.4072000000001</v>
      </c>
      <c r="C162" s="52">
        <v>0</v>
      </c>
      <c r="D162" s="52">
        <v>201.18049999999999</v>
      </c>
      <c r="E162" s="52">
        <v>201.18049999999999</v>
      </c>
      <c r="F162" s="52">
        <v>0</v>
      </c>
      <c r="G162" s="52">
        <v>268.2407</v>
      </c>
      <c r="H162" s="52">
        <v>134.12039999999999</v>
      </c>
      <c r="I162" s="52">
        <v>268.2407</v>
      </c>
      <c r="J162" s="52">
        <v>268.2407</v>
      </c>
      <c r="K162" s="52">
        <v>804.72220000000004</v>
      </c>
      <c r="L162" s="52">
        <v>268.2407</v>
      </c>
      <c r="M162" s="52">
        <v>268.2407</v>
      </c>
      <c r="N162" s="5" t="s">
        <v>69</v>
      </c>
    </row>
    <row r="163" spans="1:14" x14ac:dyDescent="0.25">
      <c r="A163" s="50">
        <v>0.95199999999999996</v>
      </c>
      <c r="B163" s="52">
        <v>2685.2278999999999</v>
      </c>
      <c r="C163" s="52">
        <v>0</v>
      </c>
      <c r="D163" s="52">
        <v>201.3921</v>
      </c>
      <c r="E163" s="52">
        <v>201.3921</v>
      </c>
      <c r="F163" s="52">
        <v>0</v>
      </c>
      <c r="G163" s="52">
        <v>268.52280000000002</v>
      </c>
      <c r="H163" s="52">
        <v>134.26140000000001</v>
      </c>
      <c r="I163" s="52">
        <v>268.52280000000002</v>
      </c>
      <c r="J163" s="52">
        <v>268.52280000000002</v>
      </c>
      <c r="K163" s="52">
        <v>805.5684</v>
      </c>
      <c r="L163" s="52">
        <v>268.52280000000002</v>
      </c>
      <c r="M163" s="52">
        <v>268.52280000000002</v>
      </c>
      <c r="N163" s="5" t="s">
        <v>69</v>
      </c>
    </row>
    <row r="164" spans="1:14" x14ac:dyDescent="0.25">
      <c r="A164" s="50">
        <v>0.95299999999999996</v>
      </c>
      <c r="B164" s="52">
        <v>2688.0484999999999</v>
      </c>
      <c r="C164" s="52">
        <v>0</v>
      </c>
      <c r="D164" s="52">
        <v>201.6036</v>
      </c>
      <c r="E164" s="52">
        <v>201.6036</v>
      </c>
      <c r="F164" s="52">
        <v>0</v>
      </c>
      <c r="G164" s="52">
        <v>268.8048</v>
      </c>
      <c r="H164" s="52">
        <v>134.4024</v>
      </c>
      <c r="I164" s="52">
        <v>268.8048</v>
      </c>
      <c r="J164" s="52">
        <v>268.8048</v>
      </c>
      <c r="K164" s="52">
        <v>806.41449999999998</v>
      </c>
      <c r="L164" s="52">
        <v>268.8048</v>
      </c>
      <c r="M164" s="52">
        <v>268.8048</v>
      </c>
      <c r="N164" s="5" t="s">
        <v>69</v>
      </c>
    </row>
    <row r="165" spans="1:14" x14ac:dyDescent="0.25">
      <c r="A165" s="50">
        <v>0.95399999999999996</v>
      </c>
      <c r="B165" s="52">
        <v>2690.8690999999999</v>
      </c>
      <c r="C165" s="52">
        <v>0</v>
      </c>
      <c r="D165" s="52">
        <v>201.8152</v>
      </c>
      <c r="E165" s="52">
        <v>201.8152</v>
      </c>
      <c r="F165" s="52">
        <v>0</v>
      </c>
      <c r="G165" s="52">
        <v>269.08690000000001</v>
      </c>
      <c r="H165" s="52">
        <v>134.54349999999999</v>
      </c>
      <c r="I165" s="52">
        <v>269.08690000000001</v>
      </c>
      <c r="J165" s="52">
        <v>269.08690000000001</v>
      </c>
      <c r="K165" s="52">
        <v>807.26070000000004</v>
      </c>
      <c r="L165" s="52">
        <v>269.08690000000001</v>
      </c>
      <c r="M165" s="52">
        <v>269.08690000000001</v>
      </c>
      <c r="N165" s="5" t="s">
        <v>69</v>
      </c>
    </row>
    <row r="166" spans="1:14" x14ac:dyDescent="0.25">
      <c r="A166" s="50">
        <v>0.95499999999999996</v>
      </c>
      <c r="B166" s="52">
        <v>2693.6896999999999</v>
      </c>
      <c r="C166" s="52">
        <v>0</v>
      </c>
      <c r="D166" s="52">
        <v>202.02670000000001</v>
      </c>
      <c r="E166" s="52">
        <v>202.02670000000001</v>
      </c>
      <c r="F166" s="52">
        <v>0</v>
      </c>
      <c r="G166" s="52">
        <v>269.36900000000003</v>
      </c>
      <c r="H166" s="52">
        <v>134.68450000000001</v>
      </c>
      <c r="I166" s="52">
        <v>269.36900000000003</v>
      </c>
      <c r="J166" s="52">
        <v>269.36900000000003</v>
      </c>
      <c r="K166" s="52">
        <v>808.1069</v>
      </c>
      <c r="L166" s="52">
        <v>269.36900000000003</v>
      </c>
      <c r="M166" s="52">
        <v>269.36900000000003</v>
      </c>
      <c r="N166" s="5" t="s">
        <v>69</v>
      </c>
    </row>
    <row r="167" spans="1:14" x14ac:dyDescent="0.25">
      <c r="A167" s="50">
        <v>0.95599999999999996</v>
      </c>
      <c r="B167" s="52">
        <v>2696.5102999999999</v>
      </c>
      <c r="C167" s="52">
        <v>0</v>
      </c>
      <c r="D167" s="52">
        <v>202.23830000000001</v>
      </c>
      <c r="E167" s="52">
        <v>202.23830000000001</v>
      </c>
      <c r="F167" s="52">
        <v>0</v>
      </c>
      <c r="G167" s="52">
        <v>269.65100000000001</v>
      </c>
      <c r="H167" s="52">
        <v>134.82550000000001</v>
      </c>
      <c r="I167" s="52">
        <v>269.65100000000001</v>
      </c>
      <c r="J167" s="52">
        <v>269.65100000000001</v>
      </c>
      <c r="K167" s="52">
        <v>808.95309999999995</v>
      </c>
      <c r="L167" s="52">
        <v>269.65100000000001</v>
      </c>
      <c r="M167" s="52">
        <v>269.65100000000001</v>
      </c>
      <c r="N167" s="5" t="s">
        <v>69</v>
      </c>
    </row>
    <row r="168" spans="1:14" x14ac:dyDescent="0.25">
      <c r="A168" s="50">
        <v>0.95699999999999996</v>
      </c>
      <c r="B168" s="52">
        <v>2699.3308999999999</v>
      </c>
      <c r="C168" s="52">
        <v>0</v>
      </c>
      <c r="D168" s="52">
        <v>202.44980000000001</v>
      </c>
      <c r="E168" s="52">
        <v>202.44980000000001</v>
      </c>
      <c r="F168" s="52">
        <v>0</v>
      </c>
      <c r="G168" s="52">
        <v>269.93310000000002</v>
      </c>
      <c r="H168" s="52">
        <v>134.9665</v>
      </c>
      <c r="I168" s="52">
        <v>269.93310000000002</v>
      </c>
      <c r="J168" s="52">
        <v>269.93310000000002</v>
      </c>
      <c r="K168" s="52">
        <v>809.79930000000002</v>
      </c>
      <c r="L168" s="52">
        <v>269.93310000000002</v>
      </c>
      <c r="M168" s="52">
        <v>269.93310000000002</v>
      </c>
      <c r="N168" s="5" t="s">
        <v>69</v>
      </c>
    </row>
    <row r="169" spans="1:14" x14ac:dyDescent="0.25">
      <c r="A169" s="50">
        <v>0.95799999999999996</v>
      </c>
      <c r="B169" s="52">
        <v>2702.1516000000001</v>
      </c>
      <c r="C169" s="52">
        <v>0</v>
      </c>
      <c r="D169" s="52">
        <v>202.66139999999999</v>
      </c>
      <c r="E169" s="52">
        <v>202.66139999999999</v>
      </c>
      <c r="F169" s="52">
        <v>0</v>
      </c>
      <c r="G169" s="52">
        <v>270.21519999999998</v>
      </c>
      <c r="H169" s="52">
        <v>135.10759999999999</v>
      </c>
      <c r="I169" s="52">
        <v>270.21519999999998</v>
      </c>
      <c r="J169" s="52">
        <v>270.21519999999998</v>
      </c>
      <c r="K169" s="52">
        <v>810.64549999999997</v>
      </c>
      <c r="L169" s="52">
        <v>270.21519999999998</v>
      </c>
      <c r="M169" s="52">
        <v>270.21519999999998</v>
      </c>
      <c r="N169" s="5" t="s">
        <v>69</v>
      </c>
    </row>
    <row r="170" spans="1:14" x14ac:dyDescent="0.25">
      <c r="A170" s="50">
        <v>0.95899999999999996</v>
      </c>
      <c r="B170" s="52">
        <v>2704.9722000000002</v>
      </c>
      <c r="C170" s="52">
        <v>0</v>
      </c>
      <c r="D170" s="52">
        <v>202.87289999999999</v>
      </c>
      <c r="E170" s="52">
        <v>202.87289999999999</v>
      </c>
      <c r="F170" s="52">
        <v>0</v>
      </c>
      <c r="G170" s="52">
        <v>270.49720000000002</v>
      </c>
      <c r="H170" s="52">
        <v>135.24860000000001</v>
      </c>
      <c r="I170" s="52">
        <v>270.49720000000002</v>
      </c>
      <c r="J170" s="52">
        <v>270.49720000000002</v>
      </c>
      <c r="K170" s="52">
        <v>811.49170000000004</v>
      </c>
      <c r="L170" s="52">
        <v>270.49720000000002</v>
      </c>
      <c r="M170" s="52">
        <v>270.49720000000002</v>
      </c>
      <c r="N170" s="5" t="s">
        <v>69</v>
      </c>
    </row>
    <row r="171" spans="1:14" x14ac:dyDescent="0.25">
      <c r="A171" s="50">
        <v>0.96</v>
      </c>
      <c r="B171" s="52">
        <v>2707.7928000000002</v>
      </c>
      <c r="C171" s="52">
        <v>0</v>
      </c>
      <c r="D171" s="52">
        <v>203.08449999999999</v>
      </c>
      <c r="E171" s="52">
        <v>203.08449999999999</v>
      </c>
      <c r="F171" s="52">
        <v>0</v>
      </c>
      <c r="G171" s="52">
        <v>270.77929999999998</v>
      </c>
      <c r="H171" s="52">
        <v>135.3896</v>
      </c>
      <c r="I171" s="52">
        <v>270.77929999999998</v>
      </c>
      <c r="J171" s="52">
        <v>270.77929999999998</v>
      </c>
      <c r="K171" s="52">
        <v>812.33780000000002</v>
      </c>
      <c r="L171" s="52">
        <v>270.77929999999998</v>
      </c>
      <c r="M171" s="52">
        <v>270.77929999999998</v>
      </c>
      <c r="N171" s="5" t="s">
        <v>69</v>
      </c>
    </row>
    <row r="172" spans="1:14" x14ac:dyDescent="0.25">
      <c r="A172" s="50">
        <v>0.96099999999999997</v>
      </c>
      <c r="B172" s="52">
        <v>2710.6134000000002</v>
      </c>
      <c r="C172" s="52">
        <v>0</v>
      </c>
      <c r="D172" s="52">
        <v>203.29599999999999</v>
      </c>
      <c r="E172" s="52">
        <v>203.29599999999999</v>
      </c>
      <c r="F172" s="52">
        <v>0</v>
      </c>
      <c r="G172" s="52">
        <v>271.06130000000002</v>
      </c>
      <c r="H172" s="52">
        <v>135.5307</v>
      </c>
      <c r="I172" s="52">
        <v>271.06130000000002</v>
      </c>
      <c r="J172" s="52">
        <v>271.06130000000002</v>
      </c>
      <c r="K172" s="52">
        <v>813.18399999999997</v>
      </c>
      <c r="L172" s="52">
        <v>271.06130000000002</v>
      </c>
      <c r="M172" s="52">
        <v>271.06130000000002</v>
      </c>
      <c r="N172" s="5" t="s">
        <v>69</v>
      </c>
    </row>
    <row r="173" spans="1:14" x14ac:dyDescent="0.25">
      <c r="A173" s="50">
        <v>0.96199999999999997</v>
      </c>
      <c r="B173" s="52">
        <v>2713.4340000000002</v>
      </c>
      <c r="C173" s="52">
        <v>0</v>
      </c>
      <c r="D173" s="52">
        <v>203.5076</v>
      </c>
      <c r="E173" s="52">
        <v>203.5076</v>
      </c>
      <c r="F173" s="52">
        <v>0</v>
      </c>
      <c r="G173" s="52">
        <v>271.34339999999997</v>
      </c>
      <c r="H173" s="52">
        <v>135.67169999999999</v>
      </c>
      <c r="I173" s="52">
        <v>271.34339999999997</v>
      </c>
      <c r="J173" s="52">
        <v>271.34339999999997</v>
      </c>
      <c r="K173" s="52">
        <v>814.03020000000004</v>
      </c>
      <c r="L173" s="52">
        <v>271.34339999999997</v>
      </c>
      <c r="M173" s="52">
        <v>271.34339999999997</v>
      </c>
      <c r="N173" s="5" t="s">
        <v>69</v>
      </c>
    </row>
    <row r="174" spans="1:14" x14ac:dyDescent="0.25">
      <c r="A174" s="50">
        <v>0.96299999999999997</v>
      </c>
      <c r="B174" s="52">
        <v>2716.2546000000002</v>
      </c>
      <c r="C174" s="52">
        <v>0</v>
      </c>
      <c r="D174" s="52">
        <v>203.7191</v>
      </c>
      <c r="E174" s="52">
        <v>203.7191</v>
      </c>
      <c r="F174" s="52">
        <v>0</v>
      </c>
      <c r="G174" s="52">
        <v>271.62549999999999</v>
      </c>
      <c r="H174" s="52">
        <v>135.81270000000001</v>
      </c>
      <c r="I174" s="52">
        <v>271.62549999999999</v>
      </c>
      <c r="J174" s="52">
        <v>271.62549999999999</v>
      </c>
      <c r="K174" s="52">
        <v>814.87639999999999</v>
      </c>
      <c r="L174" s="52">
        <v>271.62549999999999</v>
      </c>
      <c r="M174" s="52">
        <v>271.62549999999999</v>
      </c>
      <c r="N174" s="5" t="s">
        <v>69</v>
      </c>
    </row>
    <row r="175" spans="1:14" x14ac:dyDescent="0.25">
      <c r="A175" s="50">
        <v>0.96399999999999997</v>
      </c>
      <c r="B175" s="52">
        <v>2719.0753</v>
      </c>
      <c r="C175" s="52">
        <v>0</v>
      </c>
      <c r="D175" s="52">
        <v>203.9306</v>
      </c>
      <c r="E175" s="52">
        <v>203.9306</v>
      </c>
      <c r="F175" s="52">
        <v>0</v>
      </c>
      <c r="G175" s="52">
        <v>271.90750000000003</v>
      </c>
      <c r="H175" s="52">
        <v>135.9538</v>
      </c>
      <c r="I175" s="52">
        <v>271.90750000000003</v>
      </c>
      <c r="J175" s="52">
        <v>271.90750000000003</v>
      </c>
      <c r="K175" s="52">
        <v>815.72260000000006</v>
      </c>
      <c r="L175" s="52">
        <v>271.90750000000003</v>
      </c>
      <c r="M175" s="52">
        <v>271.90750000000003</v>
      </c>
      <c r="N175" s="5" t="s">
        <v>69</v>
      </c>
    </row>
    <row r="176" spans="1:14" x14ac:dyDescent="0.25">
      <c r="A176" s="50">
        <v>0.96499999999999997</v>
      </c>
      <c r="B176" s="52">
        <v>2721.8959</v>
      </c>
      <c r="C176" s="52">
        <v>0</v>
      </c>
      <c r="D176" s="52">
        <v>204.1422</v>
      </c>
      <c r="E176" s="52">
        <v>204.1422</v>
      </c>
      <c r="F176" s="52">
        <v>0</v>
      </c>
      <c r="G176" s="52">
        <v>272.18959999999998</v>
      </c>
      <c r="H176" s="52">
        <v>136.09479999999999</v>
      </c>
      <c r="I176" s="52">
        <v>272.18959999999998</v>
      </c>
      <c r="J176" s="52">
        <v>272.18959999999998</v>
      </c>
      <c r="K176" s="52">
        <v>816.56880000000001</v>
      </c>
      <c r="L176" s="52">
        <v>272.18959999999998</v>
      </c>
      <c r="M176" s="52">
        <v>272.18959999999998</v>
      </c>
      <c r="N176" s="5" t="s">
        <v>69</v>
      </c>
    </row>
    <row r="177" spans="1:14" x14ac:dyDescent="0.25">
      <c r="A177" s="50">
        <v>0.96599999999999997</v>
      </c>
      <c r="B177" s="52">
        <v>2724.7165</v>
      </c>
      <c r="C177" s="52">
        <v>0</v>
      </c>
      <c r="D177" s="52">
        <v>204.3537</v>
      </c>
      <c r="E177" s="52">
        <v>204.3537</v>
      </c>
      <c r="F177" s="52">
        <v>0</v>
      </c>
      <c r="G177" s="52">
        <v>272.47160000000002</v>
      </c>
      <c r="H177" s="52">
        <v>136.23580000000001</v>
      </c>
      <c r="I177" s="52">
        <v>272.47160000000002</v>
      </c>
      <c r="J177" s="52">
        <v>272.47160000000002</v>
      </c>
      <c r="K177" s="52">
        <v>817.41489999999999</v>
      </c>
      <c r="L177" s="52">
        <v>272.47160000000002</v>
      </c>
      <c r="M177" s="52">
        <v>272.47160000000002</v>
      </c>
      <c r="N177" s="5" t="s">
        <v>69</v>
      </c>
    </row>
    <row r="178" spans="1:14" x14ac:dyDescent="0.25">
      <c r="A178" s="50">
        <v>0.96699999999999997</v>
      </c>
      <c r="B178" s="52">
        <v>2727.5371</v>
      </c>
      <c r="C178" s="52">
        <v>0</v>
      </c>
      <c r="D178" s="52">
        <v>204.56530000000001</v>
      </c>
      <c r="E178" s="52">
        <v>204.56530000000001</v>
      </c>
      <c r="F178" s="52">
        <v>0</v>
      </c>
      <c r="G178" s="52">
        <v>272.75369999999998</v>
      </c>
      <c r="H178" s="52">
        <v>136.37690000000001</v>
      </c>
      <c r="I178" s="52">
        <v>272.75369999999998</v>
      </c>
      <c r="J178" s="52">
        <v>272.75369999999998</v>
      </c>
      <c r="K178" s="52">
        <v>818.26110000000006</v>
      </c>
      <c r="L178" s="52">
        <v>272.75369999999998</v>
      </c>
      <c r="M178" s="52">
        <v>272.75369999999998</v>
      </c>
      <c r="N178" s="5" t="s">
        <v>69</v>
      </c>
    </row>
    <row r="179" spans="1:14" x14ac:dyDescent="0.25">
      <c r="A179" s="50">
        <v>0.96799999999999997</v>
      </c>
      <c r="B179" s="52">
        <v>2730.3577</v>
      </c>
      <c r="C179" s="52">
        <v>0</v>
      </c>
      <c r="D179" s="52">
        <v>204.77680000000001</v>
      </c>
      <c r="E179" s="52">
        <v>204.77680000000001</v>
      </c>
      <c r="F179" s="52">
        <v>0</v>
      </c>
      <c r="G179" s="52">
        <v>273.03579999999999</v>
      </c>
      <c r="H179" s="52">
        <v>136.5179</v>
      </c>
      <c r="I179" s="52">
        <v>273.03579999999999</v>
      </c>
      <c r="J179" s="52">
        <v>273.03579999999999</v>
      </c>
      <c r="K179" s="52">
        <v>819.10730000000001</v>
      </c>
      <c r="L179" s="52">
        <v>273.03579999999999</v>
      </c>
      <c r="M179" s="52">
        <v>273.03579999999999</v>
      </c>
      <c r="N179" s="5" t="s">
        <v>69</v>
      </c>
    </row>
    <row r="180" spans="1:14" x14ac:dyDescent="0.25">
      <c r="A180" s="50">
        <v>0.96899999999999997</v>
      </c>
      <c r="B180" s="52">
        <v>2733.1783999999998</v>
      </c>
      <c r="C180" s="52">
        <v>0</v>
      </c>
      <c r="D180" s="52">
        <v>204.98840000000001</v>
      </c>
      <c r="E180" s="52">
        <v>204.98840000000001</v>
      </c>
      <c r="F180" s="52">
        <v>0</v>
      </c>
      <c r="G180" s="52">
        <v>273.31779999999998</v>
      </c>
      <c r="H180" s="52">
        <v>136.65889999999999</v>
      </c>
      <c r="I180" s="52">
        <v>273.31779999999998</v>
      </c>
      <c r="J180" s="52">
        <v>273.31779999999998</v>
      </c>
      <c r="K180" s="52">
        <v>819.95349999999996</v>
      </c>
      <c r="L180" s="52">
        <v>273.31779999999998</v>
      </c>
      <c r="M180" s="52">
        <v>273.31779999999998</v>
      </c>
      <c r="N180" s="5" t="s">
        <v>69</v>
      </c>
    </row>
    <row r="181" spans="1:14" x14ac:dyDescent="0.25">
      <c r="A181" s="50">
        <v>0.97</v>
      </c>
      <c r="B181" s="52">
        <v>2735.9989999999998</v>
      </c>
      <c r="C181" s="52">
        <v>0</v>
      </c>
      <c r="D181" s="52">
        <v>205.19990000000001</v>
      </c>
      <c r="E181" s="52">
        <v>205.19990000000001</v>
      </c>
      <c r="F181" s="52">
        <v>0</v>
      </c>
      <c r="G181" s="52">
        <v>273.59989999999999</v>
      </c>
      <c r="H181" s="52">
        <v>136.79990000000001</v>
      </c>
      <c r="I181" s="52">
        <v>273.59989999999999</v>
      </c>
      <c r="J181" s="52">
        <v>273.59989999999999</v>
      </c>
      <c r="K181" s="52">
        <v>820.79970000000003</v>
      </c>
      <c r="L181" s="52">
        <v>273.59989999999999</v>
      </c>
      <c r="M181" s="52">
        <v>273.59989999999999</v>
      </c>
      <c r="N181" s="5" t="s">
        <v>69</v>
      </c>
    </row>
    <row r="182" spans="1:14" x14ac:dyDescent="0.25">
      <c r="A182" s="50">
        <v>0.97099999999999997</v>
      </c>
      <c r="B182" s="52">
        <v>2738.8195999999998</v>
      </c>
      <c r="C182" s="52">
        <v>0</v>
      </c>
      <c r="D182" s="52">
        <v>205.41149999999999</v>
      </c>
      <c r="E182" s="52">
        <v>205.41149999999999</v>
      </c>
      <c r="F182" s="52">
        <v>0</v>
      </c>
      <c r="G182" s="52">
        <v>273.88200000000001</v>
      </c>
      <c r="H182" s="52">
        <v>136.941</v>
      </c>
      <c r="I182" s="52">
        <v>273.88200000000001</v>
      </c>
      <c r="J182" s="52">
        <v>273.88200000000001</v>
      </c>
      <c r="K182" s="52">
        <v>821.64589999999998</v>
      </c>
      <c r="L182" s="52">
        <v>273.88200000000001</v>
      </c>
      <c r="M182" s="52">
        <v>273.88200000000001</v>
      </c>
      <c r="N182" s="5" t="s">
        <v>69</v>
      </c>
    </row>
    <row r="183" spans="1:14" x14ac:dyDescent="0.25">
      <c r="A183" s="50">
        <v>0.97199999999999998</v>
      </c>
      <c r="B183" s="52">
        <v>2741.6401999999998</v>
      </c>
      <c r="C183" s="52">
        <v>0</v>
      </c>
      <c r="D183" s="52">
        <v>205.62299999999999</v>
      </c>
      <c r="E183" s="52">
        <v>205.62299999999999</v>
      </c>
      <c r="F183" s="52">
        <v>0</v>
      </c>
      <c r="G183" s="52">
        <v>274.16399999999999</v>
      </c>
      <c r="H183" s="52">
        <v>137.08199999999999</v>
      </c>
      <c r="I183" s="52">
        <v>274.16399999999999</v>
      </c>
      <c r="J183" s="52">
        <v>274.16399999999999</v>
      </c>
      <c r="K183" s="52">
        <v>822.49210000000005</v>
      </c>
      <c r="L183" s="52">
        <v>274.16399999999999</v>
      </c>
      <c r="M183" s="52">
        <v>274.16399999999999</v>
      </c>
      <c r="N183" s="5" t="s">
        <v>69</v>
      </c>
    </row>
    <row r="184" spans="1:14" x14ac:dyDescent="0.25">
      <c r="A184" s="50">
        <v>0.97299999999999998</v>
      </c>
      <c r="B184" s="52">
        <v>2744.4607999999998</v>
      </c>
      <c r="C184" s="52">
        <v>0</v>
      </c>
      <c r="D184" s="52">
        <v>205.83459999999999</v>
      </c>
      <c r="E184" s="52">
        <v>205.83459999999999</v>
      </c>
      <c r="F184" s="52">
        <v>0</v>
      </c>
      <c r="G184" s="52">
        <v>274.4461</v>
      </c>
      <c r="H184" s="52">
        <v>137.22300000000001</v>
      </c>
      <c r="I184" s="52">
        <v>274.4461</v>
      </c>
      <c r="J184" s="52">
        <v>274.4461</v>
      </c>
      <c r="K184" s="52">
        <v>823.33820000000003</v>
      </c>
      <c r="L184" s="52">
        <v>274.4461</v>
      </c>
      <c r="M184" s="52">
        <v>274.4461</v>
      </c>
      <c r="N184" s="5" t="s">
        <v>69</v>
      </c>
    </row>
    <row r="185" spans="1:14" x14ac:dyDescent="0.25">
      <c r="A185" s="50">
        <v>0.97399999999999998</v>
      </c>
      <c r="B185" s="52">
        <v>2747.2813999999998</v>
      </c>
      <c r="C185" s="52">
        <v>0</v>
      </c>
      <c r="D185" s="52">
        <v>206.0461</v>
      </c>
      <c r="E185" s="52">
        <v>206.0461</v>
      </c>
      <c r="F185" s="52">
        <v>0</v>
      </c>
      <c r="G185" s="52">
        <v>274.72809999999998</v>
      </c>
      <c r="H185" s="52">
        <v>137.36410000000001</v>
      </c>
      <c r="I185" s="52">
        <v>274.72809999999998</v>
      </c>
      <c r="J185" s="52">
        <v>274.72809999999998</v>
      </c>
      <c r="K185" s="52">
        <v>824.18439999999998</v>
      </c>
      <c r="L185" s="52">
        <v>274.72809999999998</v>
      </c>
      <c r="M185" s="52">
        <v>274.72809999999998</v>
      </c>
      <c r="N185" s="5" t="s">
        <v>69</v>
      </c>
    </row>
    <row r="186" spans="1:14" x14ac:dyDescent="0.25">
      <c r="A186" s="50">
        <v>0.97499999999999998</v>
      </c>
      <c r="B186" s="52">
        <v>2750.1021000000001</v>
      </c>
      <c r="C186" s="52">
        <v>0</v>
      </c>
      <c r="D186" s="52">
        <v>206.2577</v>
      </c>
      <c r="E186" s="52">
        <v>206.2577</v>
      </c>
      <c r="F186" s="52">
        <v>0</v>
      </c>
      <c r="G186" s="52">
        <v>275.0102</v>
      </c>
      <c r="H186" s="52">
        <v>137.5051</v>
      </c>
      <c r="I186" s="52">
        <v>275.0102</v>
      </c>
      <c r="J186" s="52">
        <v>275.0102</v>
      </c>
      <c r="K186" s="52">
        <v>825.03060000000005</v>
      </c>
      <c r="L186" s="52">
        <v>275.0102</v>
      </c>
      <c r="M186" s="52">
        <v>275.0102</v>
      </c>
      <c r="N186" s="5" t="s">
        <v>69</v>
      </c>
    </row>
    <row r="187" spans="1:14" x14ac:dyDescent="0.25">
      <c r="A187" s="50">
        <v>0.97599999999999998</v>
      </c>
      <c r="B187" s="52">
        <v>2752.9227000000001</v>
      </c>
      <c r="C187" s="52">
        <v>0</v>
      </c>
      <c r="D187" s="52">
        <v>206.4692</v>
      </c>
      <c r="E187" s="52">
        <v>206.4692</v>
      </c>
      <c r="F187" s="52">
        <v>0</v>
      </c>
      <c r="G187" s="52">
        <v>275.29230000000001</v>
      </c>
      <c r="H187" s="52">
        <v>137.64609999999999</v>
      </c>
      <c r="I187" s="52">
        <v>275.29230000000001</v>
      </c>
      <c r="J187" s="52">
        <v>275.29230000000001</v>
      </c>
      <c r="K187" s="52">
        <v>825.8768</v>
      </c>
      <c r="L187" s="52">
        <v>275.29230000000001</v>
      </c>
      <c r="M187" s="52">
        <v>275.29230000000001</v>
      </c>
      <c r="N187" s="5" t="s">
        <v>69</v>
      </c>
    </row>
    <row r="188" spans="1:14" x14ac:dyDescent="0.25">
      <c r="A188" s="50">
        <v>0.97699999999999998</v>
      </c>
      <c r="B188" s="52">
        <v>2755.7433000000001</v>
      </c>
      <c r="C188" s="52">
        <v>0</v>
      </c>
      <c r="D188" s="52">
        <v>206.6807</v>
      </c>
      <c r="E188" s="52">
        <v>206.6807</v>
      </c>
      <c r="F188" s="52">
        <v>0</v>
      </c>
      <c r="G188" s="52">
        <v>275.57429999999999</v>
      </c>
      <c r="H188" s="52">
        <v>137.78720000000001</v>
      </c>
      <c r="I188" s="52">
        <v>275.57429999999999</v>
      </c>
      <c r="J188" s="52">
        <v>275.57429999999999</v>
      </c>
      <c r="K188" s="52">
        <v>826.72299999999996</v>
      </c>
      <c r="L188" s="52">
        <v>275.57429999999999</v>
      </c>
      <c r="M188" s="52">
        <v>275.57429999999999</v>
      </c>
      <c r="N188" s="5" t="s">
        <v>69</v>
      </c>
    </row>
    <row r="189" spans="1:14" x14ac:dyDescent="0.25">
      <c r="A189" s="50">
        <v>0.97799999999999998</v>
      </c>
      <c r="B189" s="52">
        <v>2758.5639000000001</v>
      </c>
      <c r="C189" s="52">
        <v>0</v>
      </c>
      <c r="D189" s="52">
        <v>206.89230000000001</v>
      </c>
      <c r="E189" s="52">
        <v>206.89230000000001</v>
      </c>
      <c r="F189" s="52">
        <v>0</v>
      </c>
      <c r="G189" s="52">
        <v>275.85640000000001</v>
      </c>
      <c r="H189" s="52">
        <v>137.9282</v>
      </c>
      <c r="I189" s="52">
        <v>275.85640000000001</v>
      </c>
      <c r="J189" s="52">
        <v>275.85640000000001</v>
      </c>
      <c r="K189" s="52">
        <v>827.56920000000002</v>
      </c>
      <c r="L189" s="52">
        <v>275.85640000000001</v>
      </c>
      <c r="M189" s="52">
        <v>275.85640000000001</v>
      </c>
      <c r="N189" s="5" t="s">
        <v>69</v>
      </c>
    </row>
    <row r="190" spans="1:14" x14ac:dyDescent="0.25">
      <c r="A190" s="50">
        <v>0.97899999999999998</v>
      </c>
      <c r="B190" s="52">
        <v>2761.3845000000001</v>
      </c>
      <c r="C190" s="52">
        <v>0</v>
      </c>
      <c r="D190" s="52">
        <v>207.10380000000001</v>
      </c>
      <c r="E190" s="52">
        <v>207.10380000000001</v>
      </c>
      <c r="F190" s="52">
        <v>0</v>
      </c>
      <c r="G190" s="52">
        <v>276.13850000000002</v>
      </c>
      <c r="H190" s="52">
        <v>138.0692</v>
      </c>
      <c r="I190" s="52">
        <v>276.13850000000002</v>
      </c>
      <c r="J190" s="52">
        <v>276.13850000000002</v>
      </c>
      <c r="K190" s="52">
        <v>828.41539999999998</v>
      </c>
      <c r="L190" s="52">
        <v>276.13850000000002</v>
      </c>
      <c r="M190" s="52">
        <v>276.13850000000002</v>
      </c>
      <c r="N190" s="5" t="s">
        <v>69</v>
      </c>
    </row>
    <row r="191" spans="1:14" x14ac:dyDescent="0.25">
      <c r="A191" s="50">
        <v>0.98</v>
      </c>
      <c r="B191" s="52">
        <v>2764.2051000000001</v>
      </c>
      <c r="C191" s="52">
        <v>0</v>
      </c>
      <c r="D191" s="52">
        <v>207.31540000000001</v>
      </c>
      <c r="E191" s="52">
        <v>207.31540000000001</v>
      </c>
      <c r="F191" s="52">
        <v>0</v>
      </c>
      <c r="G191" s="52">
        <v>276.4205</v>
      </c>
      <c r="H191" s="52">
        <v>138.21029999999999</v>
      </c>
      <c r="I191" s="52">
        <v>276.4205</v>
      </c>
      <c r="J191" s="52">
        <v>276.4205</v>
      </c>
      <c r="K191" s="52">
        <v>829.26149999999996</v>
      </c>
      <c r="L191" s="52">
        <v>276.4205</v>
      </c>
      <c r="M191" s="52">
        <v>276.4205</v>
      </c>
      <c r="N191" s="5" t="s">
        <v>69</v>
      </c>
    </row>
    <row r="192" spans="1:14" x14ac:dyDescent="0.25">
      <c r="A192" s="50">
        <v>0.98099999999999998</v>
      </c>
      <c r="B192" s="52">
        <v>2767.0257999999999</v>
      </c>
      <c r="C192" s="52">
        <v>0</v>
      </c>
      <c r="D192" s="52">
        <v>207.52690000000001</v>
      </c>
      <c r="E192" s="52">
        <v>207.52690000000001</v>
      </c>
      <c r="F192" s="52">
        <v>0</v>
      </c>
      <c r="G192" s="52">
        <v>276.70260000000002</v>
      </c>
      <c r="H192" s="52">
        <v>138.35130000000001</v>
      </c>
      <c r="I192" s="52">
        <v>276.70260000000002</v>
      </c>
      <c r="J192" s="52">
        <v>276.70260000000002</v>
      </c>
      <c r="K192" s="52">
        <v>830.10770000000002</v>
      </c>
      <c r="L192" s="52">
        <v>276.70260000000002</v>
      </c>
      <c r="M192" s="52">
        <v>276.70260000000002</v>
      </c>
      <c r="N192" s="5" t="s">
        <v>69</v>
      </c>
    </row>
    <row r="193" spans="1:14" x14ac:dyDescent="0.25">
      <c r="A193" s="50">
        <v>0.98199999999999998</v>
      </c>
      <c r="B193" s="52">
        <v>2769.8463999999999</v>
      </c>
      <c r="C193" s="52">
        <v>0</v>
      </c>
      <c r="D193" s="52">
        <v>207.73849999999999</v>
      </c>
      <c r="E193" s="52">
        <v>207.73849999999999</v>
      </c>
      <c r="F193" s="52">
        <v>0</v>
      </c>
      <c r="G193" s="52">
        <v>276.9846</v>
      </c>
      <c r="H193" s="52">
        <v>138.4923</v>
      </c>
      <c r="I193" s="52">
        <v>276.9846</v>
      </c>
      <c r="J193" s="52">
        <v>276.9846</v>
      </c>
      <c r="K193" s="52">
        <v>830.95389999999998</v>
      </c>
      <c r="L193" s="52">
        <v>276.9846</v>
      </c>
      <c r="M193" s="52">
        <v>276.9846</v>
      </c>
      <c r="N193" s="5" t="s">
        <v>69</v>
      </c>
    </row>
    <row r="194" spans="1:14" x14ac:dyDescent="0.25">
      <c r="A194" s="50">
        <v>0.98299999999999998</v>
      </c>
      <c r="B194" s="52">
        <v>2772.6669999999999</v>
      </c>
      <c r="C194" s="52">
        <v>0</v>
      </c>
      <c r="D194" s="52">
        <v>207.95</v>
      </c>
      <c r="E194" s="52">
        <v>207.95</v>
      </c>
      <c r="F194" s="52">
        <v>0</v>
      </c>
      <c r="G194" s="52">
        <v>277.26670000000001</v>
      </c>
      <c r="H194" s="52">
        <v>138.63329999999999</v>
      </c>
      <c r="I194" s="52">
        <v>277.26670000000001</v>
      </c>
      <c r="J194" s="52">
        <v>277.26670000000001</v>
      </c>
      <c r="K194" s="52">
        <v>831.80010000000004</v>
      </c>
      <c r="L194" s="52">
        <v>277.26670000000001</v>
      </c>
      <c r="M194" s="52">
        <v>277.26670000000001</v>
      </c>
      <c r="N194" s="5" t="s">
        <v>69</v>
      </c>
    </row>
    <row r="195" spans="1:14" x14ac:dyDescent="0.25">
      <c r="A195" s="50">
        <v>0.98399999999999999</v>
      </c>
      <c r="B195" s="52">
        <v>2775.4875999999999</v>
      </c>
      <c r="C195" s="52">
        <v>0</v>
      </c>
      <c r="D195" s="52">
        <v>208.16159999999999</v>
      </c>
      <c r="E195" s="52">
        <v>208.16159999999999</v>
      </c>
      <c r="F195" s="52">
        <v>0</v>
      </c>
      <c r="G195" s="52">
        <v>277.54880000000003</v>
      </c>
      <c r="H195" s="52">
        <v>138.77440000000001</v>
      </c>
      <c r="I195" s="52">
        <v>277.54880000000003</v>
      </c>
      <c r="J195" s="52">
        <v>277.54880000000003</v>
      </c>
      <c r="K195" s="52">
        <v>832.6463</v>
      </c>
      <c r="L195" s="52">
        <v>277.54880000000003</v>
      </c>
      <c r="M195" s="52">
        <v>277.54880000000003</v>
      </c>
      <c r="N195" s="5" t="s">
        <v>69</v>
      </c>
    </row>
    <row r="196" spans="1:14" x14ac:dyDescent="0.25">
      <c r="A196" s="50">
        <v>0.98499999999999999</v>
      </c>
      <c r="B196" s="52">
        <v>2778.3081999999999</v>
      </c>
      <c r="C196" s="52">
        <v>0</v>
      </c>
      <c r="D196" s="52">
        <v>208.37309999999999</v>
      </c>
      <c r="E196" s="52">
        <v>208.37309999999999</v>
      </c>
      <c r="F196" s="52">
        <v>0</v>
      </c>
      <c r="G196" s="52">
        <v>277.83080000000001</v>
      </c>
      <c r="H196" s="52">
        <v>138.91540000000001</v>
      </c>
      <c r="I196" s="52">
        <v>277.83080000000001</v>
      </c>
      <c r="J196" s="52">
        <v>277.83080000000001</v>
      </c>
      <c r="K196" s="52">
        <v>833.49249999999995</v>
      </c>
      <c r="L196" s="52">
        <v>277.83080000000001</v>
      </c>
      <c r="M196" s="52">
        <v>277.83080000000001</v>
      </c>
      <c r="N196" s="5" t="s">
        <v>69</v>
      </c>
    </row>
    <row r="197" spans="1:14" x14ac:dyDescent="0.25">
      <c r="A197" s="50">
        <v>0.98599999999999999</v>
      </c>
      <c r="B197" s="52">
        <v>2781.1288</v>
      </c>
      <c r="C197" s="52">
        <v>0</v>
      </c>
      <c r="D197" s="52">
        <v>208.5847</v>
      </c>
      <c r="E197" s="52">
        <v>208.5847</v>
      </c>
      <c r="F197" s="52">
        <v>0</v>
      </c>
      <c r="G197" s="52">
        <v>278.11290000000002</v>
      </c>
      <c r="H197" s="52">
        <v>139.0564</v>
      </c>
      <c r="I197" s="52">
        <v>278.11290000000002</v>
      </c>
      <c r="J197" s="52">
        <v>278.11290000000002</v>
      </c>
      <c r="K197" s="52">
        <v>834.33870000000002</v>
      </c>
      <c r="L197" s="52">
        <v>278.11290000000002</v>
      </c>
      <c r="M197" s="52">
        <v>278.11290000000002</v>
      </c>
      <c r="N197" s="5" t="s">
        <v>69</v>
      </c>
    </row>
    <row r="198" spans="1:14" x14ac:dyDescent="0.25">
      <c r="A198" s="50">
        <v>0.98699999999999999</v>
      </c>
      <c r="B198" s="52">
        <v>2783.9495000000002</v>
      </c>
      <c r="C198" s="52">
        <v>0</v>
      </c>
      <c r="D198" s="52">
        <v>208.7962</v>
      </c>
      <c r="E198" s="52">
        <v>208.7962</v>
      </c>
      <c r="F198" s="52">
        <v>0</v>
      </c>
      <c r="G198" s="52">
        <v>278.39490000000001</v>
      </c>
      <c r="H198" s="52">
        <v>139.19749999999999</v>
      </c>
      <c r="I198" s="52">
        <v>278.39490000000001</v>
      </c>
      <c r="J198" s="52">
        <v>278.39490000000001</v>
      </c>
      <c r="K198" s="52">
        <v>835.1848</v>
      </c>
      <c r="L198" s="52">
        <v>278.39490000000001</v>
      </c>
      <c r="M198" s="52">
        <v>278.39490000000001</v>
      </c>
      <c r="N198" s="5" t="s">
        <v>69</v>
      </c>
    </row>
    <row r="199" spans="1:14" x14ac:dyDescent="0.25">
      <c r="A199" s="50">
        <v>0.98799999999999999</v>
      </c>
      <c r="B199" s="52">
        <v>2786.7701000000002</v>
      </c>
      <c r="C199" s="52">
        <v>0</v>
      </c>
      <c r="D199" s="52">
        <v>209.0078</v>
      </c>
      <c r="E199" s="52">
        <v>209.0078</v>
      </c>
      <c r="F199" s="52">
        <v>0</v>
      </c>
      <c r="G199" s="52">
        <v>278.67700000000002</v>
      </c>
      <c r="H199" s="52">
        <v>139.33850000000001</v>
      </c>
      <c r="I199" s="52">
        <v>278.67700000000002</v>
      </c>
      <c r="J199" s="52">
        <v>278.67700000000002</v>
      </c>
      <c r="K199" s="52">
        <v>836.03099999999995</v>
      </c>
      <c r="L199" s="52">
        <v>278.67700000000002</v>
      </c>
      <c r="M199" s="52">
        <v>278.67700000000002</v>
      </c>
      <c r="N199" s="5" t="s">
        <v>69</v>
      </c>
    </row>
    <row r="200" spans="1:14" x14ac:dyDescent="0.25">
      <c r="A200" s="50">
        <v>0.98899999999999999</v>
      </c>
      <c r="B200" s="52">
        <v>2789.5907000000002</v>
      </c>
      <c r="C200" s="52">
        <v>0</v>
      </c>
      <c r="D200" s="52">
        <v>209.2193</v>
      </c>
      <c r="E200" s="52">
        <v>209.2193</v>
      </c>
      <c r="F200" s="52">
        <v>0</v>
      </c>
      <c r="G200" s="52">
        <v>278.95909999999998</v>
      </c>
      <c r="H200" s="52">
        <v>139.4795</v>
      </c>
      <c r="I200" s="52">
        <v>278.95909999999998</v>
      </c>
      <c r="J200" s="52">
        <v>278.95909999999998</v>
      </c>
      <c r="K200" s="52">
        <v>836.87720000000002</v>
      </c>
      <c r="L200" s="52">
        <v>278.95909999999998</v>
      </c>
      <c r="M200" s="52">
        <v>278.95909999999998</v>
      </c>
      <c r="N200" s="5" t="s">
        <v>69</v>
      </c>
    </row>
    <row r="201" spans="1:14" x14ac:dyDescent="0.25">
      <c r="A201" s="50">
        <v>0.99</v>
      </c>
      <c r="B201" s="52">
        <v>2792.4113000000002</v>
      </c>
      <c r="C201" s="52">
        <v>0</v>
      </c>
      <c r="D201" s="52">
        <v>209.4308</v>
      </c>
      <c r="E201" s="52">
        <v>209.4308</v>
      </c>
      <c r="F201" s="52">
        <v>0</v>
      </c>
      <c r="G201" s="52">
        <v>279.24110000000002</v>
      </c>
      <c r="H201" s="52">
        <v>139.6206</v>
      </c>
      <c r="I201" s="52">
        <v>279.24110000000002</v>
      </c>
      <c r="J201" s="52">
        <v>279.24110000000002</v>
      </c>
      <c r="K201" s="52">
        <v>837.72339999999997</v>
      </c>
      <c r="L201" s="52">
        <v>279.24110000000002</v>
      </c>
      <c r="M201" s="52">
        <v>279.24110000000002</v>
      </c>
      <c r="N201" s="5" t="s">
        <v>69</v>
      </c>
    </row>
    <row r="202" spans="1:14" x14ac:dyDescent="0.25">
      <c r="A202" s="50">
        <v>0.99099999999999999</v>
      </c>
      <c r="B202" s="52">
        <v>2795.2319000000002</v>
      </c>
      <c r="C202" s="52">
        <v>0</v>
      </c>
      <c r="D202" s="52">
        <v>209.64240000000001</v>
      </c>
      <c r="E202" s="52">
        <v>209.64240000000001</v>
      </c>
      <c r="F202" s="52">
        <v>0</v>
      </c>
      <c r="G202" s="52">
        <v>279.52319999999997</v>
      </c>
      <c r="H202" s="52">
        <v>139.76159999999999</v>
      </c>
      <c r="I202" s="52">
        <v>279.52319999999997</v>
      </c>
      <c r="J202" s="52">
        <v>279.52319999999997</v>
      </c>
      <c r="K202" s="52">
        <v>838.56960000000004</v>
      </c>
      <c r="L202" s="52">
        <v>279.52319999999997</v>
      </c>
      <c r="M202" s="52">
        <v>279.52319999999997</v>
      </c>
      <c r="N202" s="5" t="s">
        <v>69</v>
      </c>
    </row>
    <row r="203" spans="1:14" x14ac:dyDescent="0.25">
      <c r="A203" s="50">
        <v>0.99199999999999999</v>
      </c>
      <c r="B203" s="52">
        <v>2798.0526</v>
      </c>
      <c r="C203" s="52">
        <v>0</v>
      </c>
      <c r="D203" s="52">
        <v>209.85390000000001</v>
      </c>
      <c r="E203" s="52">
        <v>209.85390000000001</v>
      </c>
      <c r="F203" s="52">
        <v>0</v>
      </c>
      <c r="G203" s="52">
        <v>279.80529999999999</v>
      </c>
      <c r="H203" s="52">
        <v>139.90260000000001</v>
      </c>
      <c r="I203" s="52">
        <v>279.80529999999999</v>
      </c>
      <c r="J203" s="52">
        <v>279.80529999999999</v>
      </c>
      <c r="K203" s="52">
        <v>839.41579999999999</v>
      </c>
      <c r="L203" s="52">
        <v>279.80529999999999</v>
      </c>
      <c r="M203" s="52">
        <v>279.80529999999999</v>
      </c>
      <c r="N203" s="5" t="s">
        <v>69</v>
      </c>
    </row>
    <row r="204" spans="1:14" x14ac:dyDescent="0.25">
      <c r="A204" s="50">
        <v>0.99299999999999999</v>
      </c>
      <c r="B204" s="52">
        <v>2800.8732</v>
      </c>
      <c r="C204" s="52">
        <v>0</v>
      </c>
      <c r="D204" s="52">
        <v>210.06549999999999</v>
      </c>
      <c r="E204" s="52">
        <v>210.06549999999999</v>
      </c>
      <c r="F204" s="52">
        <v>0</v>
      </c>
      <c r="G204" s="52">
        <v>280.08730000000003</v>
      </c>
      <c r="H204" s="52">
        <v>140.0437</v>
      </c>
      <c r="I204" s="52">
        <v>280.08730000000003</v>
      </c>
      <c r="J204" s="52">
        <v>280.08730000000003</v>
      </c>
      <c r="K204" s="52">
        <v>840.26199999999994</v>
      </c>
      <c r="L204" s="52">
        <v>280.08730000000003</v>
      </c>
      <c r="M204" s="52">
        <v>280.08730000000003</v>
      </c>
      <c r="N204" s="5" t="s">
        <v>69</v>
      </c>
    </row>
    <row r="205" spans="1:14" x14ac:dyDescent="0.25">
      <c r="A205" s="50">
        <v>0.99399999999999999</v>
      </c>
      <c r="B205" s="52">
        <v>2803.6938</v>
      </c>
      <c r="C205" s="52">
        <v>0</v>
      </c>
      <c r="D205" s="52">
        <v>210.27699999999999</v>
      </c>
      <c r="E205" s="52">
        <v>210.27699999999999</v>
      </c>
      <c r="F205" s="52">
        <v>0</v>
      </c>
      <c r="G205" s="52">
        <v>280.36939999999998</v>
      </c>
      <c r="H205" s="52">
        <v>140.18469999999999</v>
      </c>
      <c r="I205" s="52">
        <v>280.36939999999998</v>
      </c>
      <c r="J205" s="52">
        <v>280.36939999999998</v>
      </c>
      <c r="K205" s="52">
        <v>841.10810000000004</v>
      </c>
      <c r="L205" s="52">
        <v>280.36939999999998</v>
      </c>
      <c r="M205" s="52">
        <v>280.36939999999998</v>
      </c>
      <c r="N205" s="5" t="s">
        <v>69</v>
      </c>
    </row>
    <row r="206" spans="1:14" x14ac:dyDescent="0.25">
      <c r="A206" s="50">
        <v>0.995</v>
      </c>
      <c r="B206" s="52">
        <v>2806.5144</v>
      </c>
      <c r="C206" s="52">
        <v>0</v>
      </c>
      <c r="D206" s="52">
        <v>210.48859999999999</v>
      </c>
      <c r="E206" s="52">
        <v>210.48859999999999</v>
      </c>
      <c r="F206" s="52">
        <v>0</v>
      </c>
      <c r="G206" s="52">
        <v>280.65140000000002</v>
      </c>
      <c r="H206" s="52">
        <v>140.32570000000001</v>
      </c>
      <c r="I206" s="52">
        <v>280.65140000000002</v>
      </c>
      <c r="J206" s="52">
        <v>280.65140000000002</v>
      </c>
      <c r="K206" s="52">
        <v>841.95429999999999</v>
      </c>
      <c r="L206" s="52">
        <v>280.65140000000002</v>
      </c>
      <c r="M206" s="52">
        <v>280.65140000000002</v>
      </c>
      <c r="N206" s="5" t="s">
        <v>69</v>
      </c>
    </row>
    <row r="207" spans="1:14" x14ac:dyDescent="0.25">
      <c r="A207" s="50">
        <v>0.996</v>
      </c>
      <c r="B207" s="52">
        <v>2809.335</v>
      </c>
      <c r="C207" s="52">
        <v>0</v>
      </c>
      <c r="D207" s="52">
        <v>210.70009999999999</v>
      </c>
      <c r="E207" s="52">
        <v>210.70009999999999</v>
      </c>
      <c r="F207" s="52">
        <v>0</v>
      </c>
      <c r="G207" s="52">
        <v>280.93349999999998</v>
      </c>
      <c r="H207" s="52">
        <v>140.46680000000001</v>
      </c>
      <c r="I207" s="52">
        <v>280.93349999999998</v>
      </c>
      <c r="J207" s="52">
        <v>280.93349999999998</v>
      </c>
      <c r="K207" s="52">
        <v>842.80050000000006</v>
      </c>
      <c r="L207" s="52">
        <v>280.93349999999998</v>
      </c>
      <c r="M207" s="52">
        <v>280.93349999999998</v>
      </c>
      <c r="N207" s="5" t="s">
        <v>69</v>
      </c>
    </row>
    <row r="208" spans="1:14" x14ac:dyDescent="0.25">
      <c r="A208" s="50">
        <v>0.997</v>
      </c>
      <c r="B208" s="52">
        <v>2812.1556</v>
      </c>
      <c r="C208" s="52">
        <v>0</v>
      </c>
      <c r="D208" s="52">
        <v>210.9117</v>
      </c>
      <c r="E208" s="52">
        <v>210.9117</v>
      </c>
      <c r="F208" s="52">
        <v>0</v>
      </c>
      <c r="G208" s="52">
        <v>281.21559999999999</v>
      </c>
      <c r="H208" s="52">
        <v>140.6078</v>
      </c>
      <c r="I208" s="52">
        <v>281.21559999999999</v>
      </c>
      <c r="J208" s="52">
        <v>281.21559999999999</v>
      </c>
      <c r="K208" s="52">
        <v>843.64670000000001</v>
      </c>
      <c r="L208" s="52">
        <v>281.21559999999999</v>
      </c>
      <c r="M208" s="52">
        <v>281.21559999999999</v>
      </c>
      <c r="N208" s="5" t="s">
        <v>69</v>
      </c>
    </row>
    <row r="209" spans="1:14" x14ac:dyDescent="0.25">
      <c r="A209" s="50">
        <v>0.998</v>
      </c>
      <c r="B209" s="52">
        <v>2814.9762999999998</v>
      </c>
      <c r="C209" s="52">
        <v>0</v>
      </c>
      <c r="D209" s="52">
        <v>211.1232</v>
      </c>
      <c r="E209" s="52">
        <v>211.1232</v>
      </c>
      <c r="F209" s="52">
        <v>0</v>
      </c>
      <c r="G209" s="52">
        <v>281.49759999999998</v>
      </c>
      <c r="H209" s="52">
        <v>140.74879999999999</v>
      </c>
      <c r="I209" s="52">
        <v>281.49759999999998</v>
      </c>
      <c r="J209" s="52">
        <v>281.49759999999998</v>
      </c>
      <c r="K209" s="52">
        <v>844.49289999999996</v>
      </c>
      <c r="L209" s="52">
        <v>281.49759999999998</v>
      </c>
      <c r="M209" s="52">
        <v>281.49759999999998</v>
      </c>
      <c r="N209" s="5" t="s">
        <v>69</v>
      </c>
    </row>
    <row r="210" spans="1:14" x14ac:dyDescent="0.25">
      <c r="A210" s="50">
        <v>0.999</v>
      </c>
      <c r="B210" s="52">
        <v>2817.7968999999998</v>
      </c>
      <c r="C210" s="52">
        <v>0</v>
      </c>
      <c r="D210" s="52">
        <v>211.3348</v>
      </c>
      <c r="E210" s="52">
        <v>211.3348</v>
      </c>
      <c r="F210" s="52">
        <v>0</v>
      </c>
      <c r="G210" s="52">
        <v>281.77969999999999</v>
      </c>
      <c r="H210" s="52">
        <v>140.88980000000001</v>
      </c>
      <c r="I210" s="52">
        <v>281.77969999999999</v>
      </c>
      <c r="J210" s="52">
        <v>281.77969999999999</v>
      </c>
      <c r="K210" s="52">
        <v>845.33910000000003</v>
      </c>
      <c r="L210" s="52">
        <v>281.77969999999999</v>
      </c>
      <c r="M210" s="52">
        <v>281.77969999999999</v>
      </c>
      <c r="N210" s="5" t="s">
        <v>69</v>
      </c>
    </row>
    <row r="211" spans="1:14" x14ac:dyDescent="0.25">
      <c r="A211" s="50">
        <v>1</v>
      </c>
      <c r="B211" s="52">
        <v>3760.8233</v>
      </c>
      <c r="C211" s="52">
        <v>0</v>
      </c>
      <c r="D211" s="52">
        <v>282.06169999999997</v>
      </c>
      <c r="E211" s="52">
        <v>282.06169999999997</v>
      </c>
      <c r="F211" s="52">
        <v>0</v>
      </c>
      <c r="G211" s="52">
        <v>376.08229999999998</v>
      </c>
      <c r="H211" s="52">
        <v>188.0412</v>
      </c>
      <c r="I211" s="52">
        <v>376.08229999999998</v>
      </c>
      <c r="J211" s="52">
        <v>376.08229999999998</v>
      </c>
      <c r="K211" s="52">
        <v>1128.2470000000001</v>
      </c>
      <c r="L211" s="52">
        <v>376.08229999999998</v>
      </c>
      <c r="M211" s="52">
        <v>376.08229999999998</v>
      </c>
      <c r="N211" s="5" t="s">
        <v>69</v>
      </c>
    </row>
    <row r="212" spans="1:14" x14ac:dyDescent="0.25">
      <c r="A212" s="50">
        <v>1.0009999999999999</v>
      </c>
      <c r="B212" s="52">
        <v>3762.3262</v>
      </c>
      <c r="C212" s="52">
        <v>0</v>
      </c>
      <c r="D212" s="52">
        <v>282.34350000000001</v>
      </c>
      <c r="E212" s="52">
        <v>282.34350000000001</v>
      </c>
      <c r="F212" s="52">
        <v>0</v>
      </c>
      <c r="G212" s="52">
        <v>376.45800000000003</v>
      </c>
      <c r="H212" s="52">
        <v>188.22900000000001</v>
      </c>
      <c r="I212" s="52">
        <v>376.45800000000003</v>
      </c>
      <c r="J212" s="52">
        <v>376.08229999999998</v>
      </c>
      <c r="K212" s="52">
        <v>1128.2470000000001</v>
      </c>
      <c r="L212" s="52">
        <v>376.08229999999998</v>
      </c>
      <c r="M212" s="52">
        <v>376.08229999999998</v>
      </c>
      <c r="N212" s="5" t="s">
        <v>69</v>
      </c>
    </row>
    <row r="213" spans="1:14" x14ac:dyDescent="0.25">
      <c r="A213" s="50">
        <v>1.002</v>
      </c>
      <c r="B213" s="52">
        <v>3763.8305</v>
      </c>
      <c r="C213" s="52">
        <v>0</v>
      </c>
      <c r="D213" s="52">
        <v>282.62560000000002</v>
      </c>
      <c r="E213" s="52">
        <v>282.62560000000002</v>
      </c>
      <c r="F213" s="52">
        <v>0</v>
      </c>
      <c r="G213" s="52">
        <v>376.83409999999998</v>
      </c>
      <c r="H213" s="52">
        <v>188.4171</v>
      </c>
      <c r="I213" s="52">
        <v>376.83409999999998</v>
      </c>
      <c r="J213" s="52">
        <v>376.08229999999998</v>
      </c>
      <c r="K213" s="52">
        <v>1128.2470000000001</v>
      </c>
      <c r="L213" s="52">
        <v>376.08229999999998</v>
      </c>
      <c r="M213" s="52">
        <v>376.08229999999998</v>
      </c>
      <c r="N213" s="5" t="s">
        <v>69</v>
      </c>
    </row>
    <row r="214" spans="1:14" x14ac:dyDescent="0.25">
      <c r="A214" s="50">
        <v>1.0029999999999999</v>
      </c>
      <c r="B214" s="52">
        <v>3765.3348000000001</v>
      </c>
      <c r="C214" s="52">
        <v>0</v>
      </c>
      <c r="D214" s="52">
        <v>282.90769999999998</v>
      </c>
      <c r="E214" s="52">
        <v>282.90769999999998</v>
      </c>
      <c r="F214" s="52">
        <v>0</v>
      </c>
      <c r="G214" s="52">
        <v>377.21019999999999</v>
      </c>
      <c r="H214" s="52">
        <v>188.60509999999999</v>
      </c>
      <c r="I214" s="52">
        <v>377.21019999999999</v>
      </c>
      <c r="J214" s="52">
        <v>376.08229999999998</v>
      </c>
      <c r="K214" s="52">
        <v>1128.2470000000001</v>
      </c>
      <c r="L214" s="52">
        <v>376.08229999999998</v>
      </c>
      <c r="M214" s="52">
        <v>376.08229999999998</v>
      </c>
      <c r="N214" s="5" t="s">
        <v>69</v>
      </c>
    </row>
    <row r="215" spans="1:14" x14ac:dyDescent="0.25">
      <c r="A215" s="50">
        <v>1.004</v>
      </c>
      <c r="B215" s="52">
        <v>3766.8391000000001</v>
      </c>
      <c r="C215" s="52">
        <v>0</v>
      </c>
      <c r="D215" s="52">
        <v>283.18970000000002</v>
      </c>
      <c r="E215" s="52">
        <v>283.18970000000002</v>
      </c>
      <c r="F215" s="52">
        <v>0</v>
      </c>
      <c r="G215" s="52">
        <v>377.58629999999999</v>
      </c>
      <c r="H215" s="52">
        <v>188.79310000000001</v>
      </c>
      <c r="I215" s="52">
        <v>377.58629999999999</v>
      </c>
      <c r="J215" s="52">
        <v>376.08229999999998</v>
      </c>
      <c r="K215" s="52">
        <v>1128.2470000000001</v>
      </c>
      <c r="L215" s="52">
        <v>376.08229999999998</v>
      </c>
      <c r="M215" s="52">
        <v>376.08229999999998</v>
      </c>
      <c r="N215" s="5" t="s">
        <v>69</v>
      </c>
    </row>
    <row r="216" spans="1:14" x14ac:dyDescent="0.25">
      <c r="A216" s="50">
        <v>1.0049999999999999</v>
      </c>
      <c r="B216" s="52">
        <v>3768.3434999999999</v>
      </c>
      <c r="C216" s="52">
        <v>0</v>
      </c>
      <c r="D216" s="52">
        <v>283.47179999999997</v>
      </c>
      <c r="E216" s="52">
        <v>283.47179999999997</v>
      </c>
      <c r="F216" s="52">
        <v>0</v>
      </c>
      <c r="G216" s="52">
        <v>377.9624</v>
      </c>
      <c r="H216" s="52">
        <v>188.9812</v>
      </c>
      <c r="I216" s="52">
        <v>377.9624</v>
      </c>
      <c r="J216" s="52">
        <v>376.08229999999998</v>
      </c>
      <c r="K216" s="52">
        <v>1128.2470000000001</v>
      </c>
      <c r="L216" s="52">
        <v>376.08229999999998</v>
      </c>
      <c r="M216" s="52">
        <v>376.08229999999998</v>
      </c>
      <c r="N216" s="5" t="s">
        <v>69</v>
      </c>
    </row>
    <row r="217" spans="1:14" x14ac:dyDescent="0.25">
      <c r="A217" s="50">
        <v>1.006</v>
      </c>
      <c r="B217" s="52">
        <v>3769.8478</v>
      </c>
      <c r="C217" s="52">
        <v>0</v>
      </c>
      <c r="D217" s="52">
        <v>283.75380000000001</v>
      </c>
      <c r="E217" s="52">
        <v>283.75380000000001</v>
      </c>
      <c r="F217" s="52">
        <v>0</v>
      </c>
      <c r="G217" s="52">
        <v>378.33839999999998</v>
      </c>
      <c r="H217" s="52">
        <v>189.16919999999999</v>
      </c>
      <c r="I217" s="52">
        <v>378.33839999999998</v>
      </c>
      <c r="J217" s="52">
        <v>376.08229999999998</v>
      </c>
      <c r="K217" s="52">
        <v>1128.2470000000001</v>
      </c>
      <c r="L217" s="52">
        <v>376.08229999999998</v>
      </c>
      <c r="M217" s="52">
        <v>376.08229999999998</v>
      </c>
      <c r="N217" s="5" t="s">
        <v>69</v>
      </c>
    </row>
    <row r="218" spans="1:14" x14ac:dyDescent="0.25">
      <c r="A218" s="50">
        <v>1.0069999999999999</v>
      </c>
      <c r="B218" s="52">
        <v>3771.3521000000001</v>
      </c>
      <c r="C218" s="52">
        <v>0</v>
      </c>
      <c r="D218" s="52">
        <v>284.03590000000003</v>
      </c>
      <c r="E218" s="52">
        <v>284.03590000000003</v>
      </c>
      <c r="F218" s="52">
        <v>0</v>
      </c>
      <c r="G218" s="52">
        <v>378.71449999999999</v>
      </c>
      <c r="H218" s="52">
        <v>189.35730000000001</v>
      </c>
      <c r="I218" s="52">
        <v>378.71449999999999</v>
      </c>
      <c r="J218" s="52">
        <v>376.08229999999998</v>
      </c>
      <c r="K218" s="52">
        <v>1128.2470000000001</v>
      </c>
      <c r="L218" s="52">
        <v>376.08229999999998</v>
      </c>
      <c r="M218" s="52">
        <v>376.08229999999998</v>
      </c>
      <c r="N218" s="5" t="s">
        <v>69</v>
      </c>
    </row>
    <row r="219" spans="1:14" x14ac:dyDescent="0.25">
      <c r="A219" s="50">
        <v>1.008</v>
      </c>
      <c r="B219" s="52">
        <v>3772.8564000000001</v>
      </c>
      <c r="C219" s="52">
        <v>0</v>
      </c>
      <c r="D219" s="52">
        <v>284.31799999999998</v>
      </c>
      <c r="E219" s="52">
        <v>284.31799999999998</v>
      </c>
      <c r="F219" s="52">
        <v>0</v>
      </c>
      <c r="G219" s="52">
        <v>379.09059999999999</v>
      </c>
      <c r="H219" s="52">
        <v>189.5453</v>
      </c>
      <c r="I219" s="52">
        <v>379.09059999999999</v>
      </c>
      <c r="J219" s="52">
        <v>376.08229999999998</v>
      </c>
      <c r="K219" s="52">
        <v>1128.2470000000001</v>
      </c>
      <c r="L219" s="52">
        <v>376.08229999999998</v>
      </c>
      <c r="M219" s="52">
        <v>376.08229999999998</v>
      </c>
      <c r="N219" s="5" t="s">
        <v>69</v>
      </c>
    </row>
    <row r="220" spans="1:14" x14ac:dyDescent="0.25">
      <c r="A220" s="50">
        <v>1.0089999999999999</v>
      </c>
      <c r="B220" s="52">
        <v>3774.3607999999999</v>
      </c>
      <c r="C220" s="52">
        <v>0</v>
      </c>
      <c r="D220" s="52">
        <v>284.60000000000002</v>
      </c>
      <c r="E220" s="52">
        <v>284.60000000000002</v>
      </c>
      <c r="F220" s="52">
        <v>0</v>
      </c>
      <c r="G220" s="52">
        <v>379.4667</v>
      </c>
      <c r="H220" s="52">
        <v>189.73330000000001</v>
      </c>
      <c r="I220" s="52">
        <v>379.4667</v>
      </c>
      <c r="J220" s="52">
        <v>376.08229999999998</v>
      </c>
      <c r="K220" s="52">
        <v>1128.2470000000001</v>
      </c>
      <c r="L220" s="52">
        <v>376.08229999999998</v>
      </c>
      <c r="M220" s="52">
        <v>376.08229999999998</v>
      </c>
      <c r="N220" s="5" t="s">
        <v>69</v>
      </c>
    </row>
    <row r="221" spans="1:14" x14ac:dyDescent="0.25">
      <c r="A221" s="50">
        <v>1.01</v>
      </c>
      <c r="B221" s="52">
        <v>3775.8651</v>
      </c>
      <c r="C221" s="52">
        <v>0</v>
      </c>
      <c r="D221" s="52">
        <v>284.88209999999998</v>
      </c>
      <c r="E221" s="52">
        <v>284.88209999999998</v>
      </c>
      <c r="F221" s="52">
        <v>0</v>
      </c>
      <c r="G221" s="52">
        <v>379.84280000000001</v>
      </c>
      <c r="H221" s="52">
        <v>189.92140000000001</v>
      </c>
      <c r="I221" s="52">
        <v>379.84280000000001</v>
      </c>
      <c r="J221" s="52">
        <v>376.08229999999998</v>
      </c>
      <c r="K221" s="52">
        <v>1128.2470000000001</v>
      </c>
      <c r="L221" s="52">
        <v>376.08229999999998</v>
      </c>
      <c r="M221" s="52">
        <v>376.08229999999998</v>
      </c>
      <c r="N221" s="5" t="s">
        <v>69</v>
      </c>
    </row>
    <row r="222" spans="1:14" x14ac:dyDescent="0.25">
      <c r="A222" s="50">
        <v>1.0109999999999999</v>
      </c>
      <c r="B222" s="52">
        <v>3777.3694</v>
      </c>
      <c r="C222" s="52">
        <v>0</v>
      </c>
      <c r="D222" s="52">
        <v>285.16410000000002</v>
      </c>
      <c r="E222" s="52">
        <v>285.16410000000002</v>
      </c>
      <c r="F222" s="52">
        <v>0</v>
      </c>
      <c r="G222" s="52">
        <v>380.21890000000002</v>
      </c>
      <c r="H222" s="52">
        <v>190.10939999999999</v>
      </c>
      <c r="I222" s="52">
        <v>380.21890000000002</v>
      </c>
      <c r="J222" s="52">
        <v>376.08229999999998</v>
      </c>
      <c r="K222" s="52">
        <v>1128.2470000000001</v>
      </c>
      <c r="L222" s="52">
        <v>376.08229999999998</v>
      </c>
      <c r="M222" s="52">
        <v>376.08229999999998</v>
      </c>
      <c r="N222" s="5" t="s">
        <v>69</v>
      </c>
    </row>
    <row r="223" spans="1:14" x14ac:dyDescent="0.25">
      <c r="A223" s="50">
        <v>1.012</v>
      </c>
      <c r="B223" s="52">
        <v>3778.8737999999998</v>
      </c>
      <c r="C223" s="52">
        <v>0</v>
      </c>
      <c r="D223" s="52">
        <v>285.44619999999998</v>
      </c>
      <c r="E223" s="52">
        <v>285.44619999999998</v>
      </c>
      <c r="F223" s="52">
        <v>0</v>
      </c>
      <c r="G223" s="52">
        <v>380.5949</v>
      </c>
      <c r="H223" s="52">
        <v>190.29750000000001</v>
      </c>
      <c r="I223" s="52">
        <v>380.5949</v>
      </c>
      <c r="J223" s="52">
        <v>376.08229999999998</v>
      </c>
      <c r="K223" s="52">
        <v>1128.2470000000001</v>
      </c>
      <c r="L223" s="52">
        <v>376.08229999999998</v>
      </c>
      <c r="M223" s="52">
        <v>376.08229999999998</v>
      </c>
      <c r="N223" s="5" t="s">
        <v>69</v>
      </c>
    </row>
    <row r="224" spans="1:14" x14ac:dyDescent="0.25">
      <c r="A224" s="50">
        <v>1.0129999999999999</v>
      </c>
      <c r="B224" s="52">
        <v>3780.3780999999999</v>
      </c>
      <c r="C224" s="52">
        <v>0</v>
      </c>
      <c r="D224" s="52">
        <v>285.72829999999999</v>
      </c>
      <c r="E224" s="52">
        <v>285.72829999999999</v>
      </c>
      <c r="F224" s="52">
        <v>0</v>
      </c>
      <c r="G224" s="52">
        <v>380.971</v>
      </c>
      <c r="H224" s="52">
        <v>190.4855</v>
      </c>
      <c r="I224" s="52">
        <v>380.971</v>
      </c>
      <c r="J224" s="52">
        <v>376.08229999999998</v>
      </c>
      <c r="K224" s="52">
        <v>1128.2470000000001</v>
      </c>
      <c r="L224" s="52">
        <v>376.08229999999998</v>
      </c>
      <c r="M224" s="52">
        <v>376.08229999999998</v>
      </c>
      <c r="N224" s="5" t="s">
        <v>69</v>
      </c>
    </row>
    <row r="225" spans="1:14" x14ac:dyDescent="0.25">
      <c r="A225" s="50">
        <v>1.014</v>
      </c>
      <c r="B225" s="52">
        <v>3781.8824</v>
      </c>
      <c r="C225" s="52">
        <v>0</v>
      </c>
      <c r="D225" s="52">
        <v>286.01029999999997</v>
      </c>
      <c r="E225" s="52">
        <v>286.01029999999997</v>
      </c>
      <c r="F225" s="52">
        <v>0</v>
      </c>
      <c r="G225" s="52">
        <v>381.34710000000001</v>
      </c>
      <c r="H225" s="52">
        <v>190.67359999999999</v>
      </c>
      <c r="I225" s="52">
        <v>381.34710000000001</v>
      </c>
      <c r="J225" s="52">
        <v>376.08229999999998</v>
      </c>
      <c r="K225" s="52">
        <v>1128.2470000000001</v>
      </c>
      <c r="L225" s="52">
        <v>376.08229999999998</v>
      </c>
      <c r="M225" s="52">
        <v>376.08229999999998</v>
      </c>
      <c r="N225" s="5" t="s">
        <v>69</v>
      </c>
    </row>
    <row r="226" spans="1:14" x14ac:dyDescent="0.25">
      <c r="A226" s="50">
        <v>1.0149999999999999</v>
      </c>
      <c r="B226" s="52">
        <v>3783.3867</v>
      </c>
      <c r="C226" s="52">
        <v>0</v>
      </c>
      <c r="D226" s="52">
        <v>286.29239999999999</v>
      </c>
      <c r="E226" s="52">
        <v>286.29239999999999</v>
      </c>
      <c r="F226" s="52">
        <v>0</v>
      </c>
      <c r="G226" s="52">
        <v>381.72320000000002</v>
      </c>
      <c r="H226" s="52">
        <v>190.86160000000001</v>
      </c>
      <c r="I226" s="52">
        <v>381.72320000000002</v>
      </c>
      <c r="J226" s="52">
        <v>376.08229999999998</v>
      </c>
      <c r="K226" s="52">
        <v>1128.2470000000001</v>
      </c>
      <c r="L226" s="52">
        <v>376.08229999999998</v>
      </c>
      <c r="M226" s="52">
        <v>376.08229999999998</v>
      </c>
      <c r="N226" s="5" t="s">
        <v>69</v>
      </c>
    </row>
    <row r="227" spans="1:14" x14ac:dyDescent="0.25">
      <c r="A227" s="50">
        <v>1.016</v>
      </c>
      <c r="B227" s="52">
        <v>3784.8910999999998</v>
      </c>
      <c r="C227" s="52">
        <v>0</v>
      </c>
      <c r="D227" s="52">
        <v>286.5745</v>
      </c>
      <c r="E227" s="52">
        <v>286.5745</v>
      </c>
      <c r="F227" s="52">
        <v>0</v>
      </c>
      <c r="G227" s="52">
        <v>382.09930000000003</v>
      </c>
      <c r="H227" s="52">
        <v>191.0496</v>
      </c>
      <c r="I227" s="52">
        <v>382.09930000000003</v>
      </c>
      <c r="J227" s="52">
        <v>376.08229999999998</v>
      </c>
      <c r="K227" s="52">
        <v>1128.2470000000001</v>
      </c>
      <c r="L227" s="52">
        <v>376.08229999999998</v>
      </c>
      <c r="M227" s="52">
        <v>376.08229999999998</v>
      </c>
      <c r="N227" s="5" t="s">
        <v>69</v>
      </c>
    </row>
    <row r="228" spans="1:14" x14ac:dyDescent="0.25">
      <c r="A228" s="50">
        <v>1.0169999999999999</v>
      </c>
      <c r="B228" s="52">
        <v>3786.3953999999999</v>
      </c>
      <c r="C228" s="52">
        <v>0</v>
      </c>
      <c r="D228" s="52">
        <v>286.85649999999998</v>
      </c>
      <c r="E228" s="52">
        <v>286.85649999999998</v>
      </c>
      <c r="F228" s="52">
        <v>0</v>
      </c>
      <c r="G228" s="52">
        <v>382.47539999999998</v>
      </c>
      <c r="H228" s="52">
        <v>191.23769999999999</v>
      </c>
      <c r="I228" s="52">
        <v>382.47539999999998</v>
      </c>
      <c r="J228" s="52">
        <v>376.08229999999998</v>
      </c>
      <c r="K228" s="52">
        <v>1128.2470000000001</v>
      </c>
      <c r="L228" s="52">
        <v>376.08229999999998</v>
      </c>
      <c r="M228" s="52">
        <v>376.08229999999998</v>
      </c>
      <c r="N228" s="5" t="s">
        <v>69</v>
      </c>
    </row>
    <row r="229" spans="1:14" x14ac:dyDescent="0.25">
      <c r="A229" s="50">
        <v>1.018</v>
      </c>
      <c r="B229" s="52">
        <v>3787.8996999999999</v>
      </c>
      <c r="C229" s="52">
        <v>0</v>
      </c>
      <c r="D229" s="52">
        <v>287.1386</v>
      </c>
      <c r="E229" s="52">
        <v>287.1386</v>
      </c>
      <c r="F229" s="52">
        <v>0</v>
      </c>
      <c r="G229" s="52">
        <v>382.85140000000001</v>
      </c>
      <c r="H229" s="52">
        <v>191.42570000000001</v>
      </c>
      <c r="I229" s="52">
        <v>382.85140000000001</v>
      </c>
      <c r="J229" s="52">
        <v>376.08229999999998</v>
      </c>
      <c r="K229" s="52">
        <v>1128.2470000000001</v>
      </c>
      <c r="L229" s="52">
        <v>376.08229999999998</v>
      </c>
      <c r="M229" s="52">
        <v>376.08229999999998</v>
      </c>
      <c r="N229" s="5" t="s">
        <v>69</v>
      </c>
    </row>
    <row r="230" spans="1:14" x14ac:dyDescent="0.25">
      <c r="A230" s="50">
        <v>1.0189999999999999</v>
      </c>
      <c r="B230" s="52">
        <v>3789.4041000000002</v>
      </c>
      <c r="C230" s="52">
        <v>0</v>
      </c>
      <c r="D230" s="52">
        <v>287.42059999999998</v>
      </c>
      <c r="E230" s="52">
        <v>287.42059999999998</v>
      </c>
      <c r="F230" s="52">
        <v>0</v>
      </c>
      <c r="G230" s="52">
        <v>383.22750000000002</v>
      </c>
      <c r="H230" s="52">
        <v>191.6138</v>
      </c>
      <c r="I230" s="52">
        <v>383.22750000000002</v>
      </c>
      <c r="J230" s="52">
        <v>376.08229999999998</v>
      </c>
      <c r="K230" s="52">
        <v>1128.2470000000001</v>
      </c>
      <c r="L230" s="52">
        <v>376.08229999999998</v>
      </c>
      <c r="M230" s="52">
        <v>376.08229999999998</v>
      </c>
      <c r="N230" s="5" t="s">
        <v>69</v>
      </c>
    </row>
    <row r="231" spans="1:14" x14ac:dyDescent="0.25">
      <c r="A231" s="50">
        <v>1.02</v>
      </c>
      <c r="B231" s="52">
        <v>3790.9083999999998</v>
      </c>
      <c r="C231" s="52">
        <v>0</v>
      </c>
      <c r="D231" s="52">
        <v>287.70269999999999</v>
      </c>
      <c r="E231" s="52">
        <v>287.70269999999999</v>
      </c>
      <c r="F231" s="52">
        <v>0</v>
      </c>
      <c r="G231" s="52">
        <v>383.60359999999997</v>
      </c>
      <c r="H231" s="52">
        <v>191.80179999999999</v>
      </c>
      <c r="I231" s="52">
        <v>383.60359999999997</v>
      </c>
      <c r="J231" s="52">
        <v>376.08229999999998</v>
      </c>
      <c r="K231" s="52">
        <v>1128.2470000000001</v>
      </c>
      <c r="L231" s="52">
        <v>376.08229999999998</v>
      </c>
      <c r="M231" s="52">
        <v>376.08229999999998</v>
      </c>
      <c r="N231" s="5" t="s">
        <v>69</v>
      </c>
    </row>
    <row r="232" spans="1:14" x14ac:dyDescent="0.25">
      <c r="A232" s="50">
        <v>1.0209999999999999</v>
      </c>
      <c r="B232" s="52">
        <v>3792.4126999999999</v>
      </c>
      <c r="C232" s="52">
        <v>0</v>
      </c>
      <c r="D232" s="52">
        <v>287.98480000000001</v>
      </c>
      <c r="E232" s="52">
        <v>287.98480000000001</v>
      </c>
      <c r="F232" s="52">
        <v>0</v>
      </c>
      <c r="G232" s="52">
        <v>383.97969999999998</v>
      </c>
      <c r="H232" s="52">
        <v>191.9898</v>
      </c>
      <c r="I232" s="52">
        <v>383.97969999999998</v>
      </c>
      <c r="J232" s="52">
        <v>376.08229999999998</v>
      </c>
      <c r="K232" s="52">
        <v>1128.2470000000001</v>
      </c>
      <c r="L232" s="52">
        <v>376.08229999999998</v>
      </c>
      <c r="M232" s="52">
        <v>376.08229999999998</v>
      </c>
      <c r="N232" s="5" t="s">
        <v>69</v>
      </c>
    </row>
    <row r="233" spans="1:14" x14ac:dyDescent="0.25">
      <c r="A233" s="50">
        <v>1.022</v>
      </c>
      <c r="B233" s="52">
        <v>3793.9169999999999</v>
      </c>
      <c r="C233" s="52">
        <v>0</v>
      </c>
      <c r="D233" s="52">
        <v>288.26679999999999</v>
      </c>
      <c r="E233" s="52">
        <v>288.26679999999999</v>
      </c>
      <c r="F233" s="52">
        <v>0</v>
      </c>
      <c r="G233" s="52">
        <v>384.35579999999999</v>
      </c>
      <c r="H233" s="52">
        <v>192.17789999999999</v>
      </c>
      <c r="I233" s="52">
        <v>384.35579999999999</v>
      </c>
      <c r="J233" s="52">
        <v>376.08229999999998</v>
      </c>
      <c r="K233" s="52">
        <v>1128.2470000000001</v>
      </c>
      <c r="L233" s="52">
        <v>376.08229999999998</v>
      </c>
      <c r="M233" s="52">
        <v>376.08229999999998</v>
      </c>
      <c r="N233" s="5" t="s">
        <v>69</v>
      </c>
    </row>
    <row r="234" spans="1:14" x14ac:dyDescent="0.25">
      <c r="A234" s="50">
        <v>1.0229999999999999</v>
      </c>
      <c r="B234" s="52">
        <v>3795.4214000000002</v>
      </c>
      <c r="C234" s="52">
        <v>0</v>
      </c>
      <c r="D234" s="52">
        <v>288.5489</v>
      </c>
      <c r="E234" s="52">
        <v>288.5489</v>
      </c>
      <c r="F234" s="52">
        <v>0</v>
      </c>
      <c r="G234" s="52">
        <v>384.73180000000002</v>
      </c>
      <c r="H234" s="52">
        <v>192.36590000000001</v>
      </c>
      <c r="I234" s="52">
        <v>384.73180000000002</v>
      </c>
      <c r="J234" s="52">
        <v>376.08229999999998</v>
      </c>
      <c r="K234" s="52">
        <v>1128.2470000000001</v>
      </c>
      <c r="L234" s="52">
        <v>376.08229999999998</v>
      </c>
      <c r="M234" s="52">
        <v>376.08229999999998</v>
      </c>
      <c r="N234" s="5" t="s">
        <v>69</v>
      </c>
    </row>
    <row r="235" spans="1:14" x14ac:dyDescent="0.25">
      <c r="A235" s="50">
        <v>1.024</v>
      </c>
      <c r="B235" s="52">
        <v>3796.9256999999998</v>
      </c>
      <c r="C235" s="52">
        <v>0</v>
      </c>
      <c r="D235" s="52">
        <v>288.83089999999999</v>
      </c>
      <c r="E235" s="52">
        <v>288.83089999999999</v>
      </c>
      <c r="F235" s="52">
        <v>0</v>
      </c>
      <c r="G235" s="52">
        <v>385.10789999999997</v>
      </c>
      <c r="H235" s="52">
        <v>192.554</v>
      </c>
      <c r="I235" s="52">
        <v>385.10789999999997</v>
      </c>
      <c r="J235" s="52">
        <v>376.08229999999998</v>
      </c>
      <c r="K235" s="52">
        <v>1128.2470000000001</v>
      </c>
      <c r="L235" s="52">
        <v>376.08229999999998</v>
      </c>
      <c r="M235" s="52">
        <v>376.08229999999998</v>
      </c>
      <c r="N235" s="5" t="s">
        <v>69</v>
      </c>
    </row>
    <row r="236" spans="1:14" x14ac:dyDescent="0.25">
      <c r="A236" s="50">
        <v>1.0249999999999999</v>
      </c>
      <c r="B236" s="52">
        <v>3798.43</v>
      </c>
      <c r="C236" s="52">
        <v>0</v>
      </c>
      <c r="D236" s="52">
        <v>289.113</v>
      </c>
      <c r="E236" s="52">
        <v>289.113</v>
      </c>
      <c r="F236" s="52">
        <v>0</v>
      </c>
      <c r="G236" s="52">
        <v>385.48399999999998</v>
      </c>
      <c r="H236" s="52">
        <v>192.74199999999999</v>
      </c>
      <c r="I236" s="52">
        <v>385.48399999999998</v>
      </c>
      <c r="J236" s="52">
        <v>376.08229999999998</v>
      </c>
      <c r="K236" s="52">
        <v>1128.2470000000001</v>
      </c>
      <c r="L236" s="52">
        <v>376.08229999999998</v>
      </c>
      <c r="M236" s="52">
        <v>376.08229999999998</v>
      </c>
      <c r="N236" s="5" t="s">
        <v>69</v>
      </c>
    </row>
    <row r="237" spans="1:14" x14ac:dyDescent="0.25">
      <c r="A237" s="50">
        <v>1.026</v>
      </c>
      <c r="B237" s="52">
        <v>3799.9342999999999</v>
      </c>
      <c r="C237" s="52">
        <v>0</v>
      </c>
      <c r="D237" s="52">
        <v>289.39510000000001</v>
      </c>
      <c r="E237" s="52">
        <v>289.39510000000001</v>
      </c>
      <c r="F237" s="52">
        <v>0</v>
      </c>
      <c r="G237" s="52">
        <v>385.86009999999999</v>
      </c>
      <c r="H237" s="52">
        <v>192.93</v>
      </c>
      <c r="I237" s="52">
        <v>385.86009999999999</v>
      </c>
      <c r="J237" s="52">
        <v>376.08229999999998</v>
      </c>
      <c r="K237" s="52">
        <v>1128.2470000000001</v>
      </c>
      <c r="L237" s="52">
        <v>376.08229999999998</v>
      </c>
      <c r="M237" s="52">
        <v>376.08229999999998</v>
      </c>
      <c r="N237" s="5" t="s">
        <v>69</v>
      </c>
    </row>
    <row r="238" spans="1:14" x14ac:dyDescent="0.25">
      <c r="A238" s="50">
        <v>1.0269999999999999</v>
      </c>
      <c r="B238" s="52">
        <v>3801.4387000000002</v>
      </c>
      <c r="C238" s="52">
        <v>0</v>
      </c>
      <c r="D238" s="52">
        <v>289.6771</v>
      </c>
      <c r="E238" s="52">
        <v>289.6771</v>
      </c>
      <c r="F238" s="52">
        <v>0</v>
      </c>
      <c r="G238" s="52">
        <v>386.2362</v>
      </c>
      <c r="H238" s="52">
        <v>193.1181</v>
      </c>
      <c r="I238" s="52">
        <v>386.2362</v>
      </c>
      <c r="J238" s="52">
        <v>376.08229999999998</v>
      </c>
      <c r="K238" s="52">
        <v>1128.2470000000001</v>
      </c>
      <c r="L238" s="52">
        <v>376.08229999999998</v>
      </c>
      <c r="M238" s="52">
        <v>376.08229999999998</v>
      </c>
      <c r="N238" s="5" t="s">
        <v>69</v>
      </c>
    </row>
    <row r="239" spans="1:14" x14ac:dyDescent="0.25">
      <c r="A239" s="50">
        <v>1.028</v>
      </c>
      <c r="B239" s="52">
        <v>3802.9430000000002</v>
      </c>
      <c r="C239" s="52">
        <v>0</v>
      </c>
      <c r="D239" s="52">
        <v>289.95920000000001</v>
      </c>
      <c r="E239" s="52">
        <v>289.95920000000001</v>
      </c>
      <c r="F239" s="52">
        <v>0</v>
      </c>
      <c r="G239" s="52">
        <v>386.6123</v>
      </c>
      <c r="H239" s="52">
        <v>193.30609999999999</v>
      </c>
      <c r="I239" s="52">
        <v>386.6123</v>
      </c>
      <c r="J239" s="52">
        <v>376.08229999999998</v>
      </c>
      <c r="K239" s="52">
        <v>1128.2470000000001</v>
      </c>
      <c r="L239" s="52">
        <v>376.08229999999998</v>
      </c>
      <c r="M239" s="52">
        <v>376.08229999999998</v>
      </c>
      <c r="N239" s="5" t="s">
        <v>69</v>
      </c>
    </row>
    <row r="240" spans="1:14" x14ac:dyDescent="0.25">
      <c r="A240" s="50">
        <v>1.0289999999999999</v>
      </c>
      <c r="B240" s="52">
        <v>3804.4472999999998</v>
      </c>
      <c r="C240" s="52">
        <v>0</v>
      </c>
      <c r="D240" s="52">
        <v>290.24130000000002</v>
      </c>
      <c r="E240" s="52">
        <v>290.24130000000002</v>
      </c>
      <c r="F240" s="52">
        <v>0</v>
      </c>
      <c r="G240" s="52">
        <v>386.98829999999998</v>
      </c>
      <c r="H240" s="52">
        <v>193.49420000000001</v>
      </c>
      <c r="I240" s="52">
        <v>386.98829999999998</v>
      </c>
      <c r="J240" s="52">
        <v>376.08229999999998</v>
      </c>
      <c r="K240" s="52">
        <v>1128.2470000000001</v>
      </c>
      <c r="L240" s="52">
        <v>376.08229999999998</v>
      </c>
      <c r="M240" s="52">
        <v>376.08229999999998</v>
      </c>
      <c r="N240" s="5" t="s">
        <v>69</v>
      </c>
    </row>
    <row r="241" spans="1:14" x14ac:dyDescent="0.25">
      <c r="A241" s="50">
        <v>1.03</v>
      </c>
      <c r="B241" s="52">
        <v>3805.9517000000001</v>
      </c>
      <c r="C241" s="52">
        <v>0</v>
      </c>
      <c r="D241" s="52">
        <v>290.52330000000001</v>
      </c>
      <c r="E241" s="52">
        <v>290.52330000000001</v>
      </c>
      <c r="F241" s="52">
        <v>0</v>
      </c>
      <c r="G241" s="52">
        <v>387.36439999999999</v>
      </c>
      <c r="H241" s="52">
        <v>193.68219999999999</v>
      </c>
      <c r="I241" s="52">
        <v>387.36439999999999</v>
      </c>
      <c r="J241" s="52">
        <v>376.08229999999998</v>
      </c>
      <c r="K241" s="52">
        <v>1128.2470000000001</v>
      </c>
      <c r="L241" s="52">
        <v>376.08229999999998</v>
      </c>
      <c r="M241" s="52">
        <v>376.08229999999998</v>
      </c>
      <c r="N241" s="5" t="s">
        <v>69</v>
      </c>
    </row>
    <row r="242" spans="1:14" x14ac:dyDescent="0.25">
      <c r="A242" s="50">
        <v>1.0309999999999999</v>
      </c>
      <c r="B242" s="52">
        <v>3807.4560000000001</v>
      </c>
      <c r="C242" s="52">
        <v>0</v>
      </c>
      <c r="D242" s="52">
        <v>290.80540000000002</v>
      </c>
      <c r="E242" s="52">
        <v>290.80540000000002</v>
      </c>
      <c r="F242" s="52">
        <v>0</v>
      </c>
      <c r="G242" s="52">
        <v>387.7405</v>
      </c>
      <c r="H242" s="52">
        <v>193.87020000000001</v>
      </c>
      <c r="I242" s="52">
        <v>387.7405</v>
      </c>
      <c r="J242" s="52">
        <v>376.08229999999998</v>
      </c>
      <c r="K242" s="52">
        <v>1128.2470000000001</v>
      </c>
      <c r="L242" s="52">
        <v>376.08229999999998</v>
      </c>
      <c r="M242" s="52">
        <v>376.08229999999998</v>
      </c>
      <c r="N242" s="5" t="s">
        <v>69</v>
      </c>
    </row>
    <row r="243" spans="1:14" x14ac:dyDescent="0.25">
      <c r="A243" s="50">
        <v>1.032</v>
      </c>
      <c r="B243" s="52">
        <v>3808.9603000000002</v>
      </c>
      <c r="C243" s="52">
        <v>0</v>
      </c>
      <c r="D243" s="52">
        <v>291.0874</v>
      </c>
      <c r="E243" s="52">
        <v>291.0874</v>
      </c>
      <c r="F243" s="52">
        <v>0</v>
      </c>
      <c r="G243" s="52">
        <v>388.11660000000001</v>
      </c>
      <c r="H243" s="52">
        <v>194.0583</v>
      </c>
      <c r="I243" s="52">
        <v>388.11660000000001</v>
      </c>
      <c r="J243" s="52">
        <v>376.08229999999998</v>
      </c>
      <c r="K243" s="52">
        <v>1128.2470000000001</v>
      </c>
      <c r="L243" s="52">
        <v>376.08229999999998</v>
      </c>
      <c r="M243" s="52">
        <v>376.08229999999998</v>
      </c>
      <c r="N243" s="5" t="s">
        <v>69</v>
      </c>
    </row>
    <row r="244" spans="1:14" x14ac:dyDescent="0.25">
      <c r="A244" s="50">
        <v>1.0329999999999999</v>
      </c>
      <c r="B244" s="52">
        <v>3810.4645999999998</v>
      </c>
      <c r="C244" s="52">
        <v>0</v>
      </c>
      <c r="D244" s="52">
        <v>291.36950000000002</v>
      </c>
      <c r="E244" s="52">
        <v>291.36950000000002</v>
      </c>
      <c r="F244" s="52">
        <v>0</v>
      </c>
      <c r="G244" s="52">
        <v>388.49270000000001</v>
      </c>
      <c r="H244" s="52">
        <v>194.24629999999999</v>
      </c>
      <c r="I244" s="52">
        <v>388.49270000000001</v>
      </c>
      <c r="J244" s="52">
        <v>376.08229999999998</v>
      </c>
      <c r="K244" s="52">
        <v>1128.2470000000001</v>
      </c>
      <c r="L244" s="52">
        <v>376.08229999999998</v>
      </c>
      <c r="M244" s="52">
        <v>376.08229999999998</v>
      </c>
      <c r="N244" s="5" t="s">
        <v>69</v>
      </c>
    </row>
    <row r="245" spans="1:14" x14ac:dyDescent="0.25">
      <c r="A245" s="50">
        <v>1.034</v>
      </c>
      <c r="B245" s="52">
        <v>3811.9690000000001</v>
      </c>
      <c r="C245" s="52">
        <v>0</v>
      </c>
      <c r="D245" s="52">
        <v>291.65159999999997</v>
      </c>
      <c r="E245" s="52">
        <v>291.65159999999997</v>
      </c>
      <c r="F245" s="52">
        <v>0</v>
      </c>
      <c r="G245" s="52">
        <v>388.86869999999999</v>
      </c>
      <c r="H245" s="52">
        <v>194.43440000000001</v>
      </c>
      <c r="I245" s="52">
        <v>388.86869999999999</v>
      </c>
      <c r="J245" s="52">
        <v>376.08229999999998</v>
      </c>
      <c r="K245" s="52">
        <v>1128.2470000000001</v>
      </c>
      <c r="L245" s="52">
        <v>376.08229999999998</v>
      </c>
      <c r="M245" s="52">
        <v>376.08229999999998</v>
      </c>
      <c r="N245" s="5" t="s">
        <v>69</v>
      </c>
    </row>
    <row r="246" spans="1:14" x14ac:dyDescent="0.25">
      <c r="A246" s="50">
        <v>1.0349999999999999</v>
      </c>
      <c r="B246" s="52">
        <v>3813.4733000000001</v>
      </c>
      <c r="C246" s="52">
        <v>0</v>
      </c>
      <c r="D246" s="52">
        <v>291.93360000000001</v>
      </c>
      <c r="E246" s="52">
        <v>291.93360000000001</v>
      </c>
      <c r="F246" s="52">
        <v>0</v>
      </c>
      <c r="G246" s="52">
        <v>389.2448</v>
      </c>
      <c r="H246" s="52">
        <v>194.6224</v>
      </c>
      <c r="I246" s="52">
        <v>389.2448</v>
      </c>
      <c r="J246" s="52">
        <v>376.08229999999998</v>
      </c>
      <c r="K246" s="52">
        <v>1128.2470000000001</v>
      </c>
      <c r="L246" s="52">
        <v>376.08229999999998</v>
      </c>
      <c r="M246" s="52">
        <v>376.08229999999998</v>
      </c>
      <c r="N246" s="5" t="s">
        <v>69</v>
      </c>
    </row>
    <row r="247" spans="1:14" x14ac:dyDescent="0.25">
      <c r="A247" s="50">
        <v>1.036</v>
      </c>
      <c r="B247" s="52">
        <v>3814.9776000000002</v>
      </c>
      <c r="C247" s="52">
        <v>0</v>
      </c>
      <c r="D247" s="52">
        <v>292.21570000000003</v>
      </c>
      <c r="E247" s="52">
        <v>292.21570000000003</v>
      </c>
      <c r="F247" s="52">
        <v>0</v>
      </c>
      <c r="G247" s="52">
        <v>389.62090000000001</v>
      </c>
      <c r="H247" s="52">
        <v>194.81049999999999</v>
      </c>
      <c r="I247" s="52">
        <v>389.62090000000001</v>
      </c>
      <c r="J247" s="52">
        <v>376.08229999999998</v>
      </c>
      <c r="K247" s="52">
        <v>1128.2470000000001</v>
      </c>
      <c r="L247" s="52">
        <v>376.08229999999998</v>
      </c>
      <c r="M247" s="52">
        <v>376.08229999999998</v>
      </c>
      <c r="N247" s="5" t="s">
        <v>69</v>
      </c>
    </row>
    <row r="248" spans="1:14" x14ac:dyDescent="0.25">
      <c r="A248" s="50">
        <v>1.0369999999999999</v>
      </c>
      <c r="B248" s="52">
        <v>3816.482</v>
      </c>
      <c r="C248" s="52">
        <v>0</v>
      </c>
      <c r="D248" s="52">
        <v>292.49770000000001</v>
      </c>
      <c r="E248" s="52">
        <v>292.49770000000001</v>
      </c>
      <c r="F248" s="52">
        <v>0</v>
      </c>
      <c r="G248" s="52">
        <v>389.99700000000001</v>
      </c>
      <c r="H248" s="52">
        <v>194.99850000000001</v>
      </c>
      <c r="I248" s="52">
        <v>389.99700000000001</v>
      </c>
      <c r="J248" s="52">
        <v>376.08229999999998</v>
      </c>
      <c r="K248" s="52">
        <v>1128.2470000000001</v>
      </c>
      <c r="L248" s="52">
        <v>376.08229999999998</v>
      </c>
      <c r="M248" s="52">
        <v>376.08229999999998</v>
      </c>
      <c r="N248" s="5" t="s">
        <v>69</v>
      </c>
    </row>
    <row r="249" spans="1:14" x14ac:dyDescent="0.25">
      <c r="A249" s="50">
        <v>1.038</v>
      </c>
      <c r="B249" s="52">
        <v>3817.9863</v>
      </c>
      <c r="C249" s="52">
        <v>0</v>
      </c>
      <c r="D249" s="52">
        <v>292.77980000000002</v>
      </c>
      <c r="E249" s="52">
        <v>292.77980000000002</v>
      </c>
      <c r="F249" s="52">
        <v>0</v>
      </c>
      <c r="G249" s="52">
        <v>390.37310000000002</v>
      </c>
      <c r="H249" s="52">
        <v>195.1865</v>
      </c>
      <c r="I249" s="52">
        <v>390.37310000000002</v>
      </c>
      <c r="J249" s="52">
        <v>376.08229999999998</v>
      </c>
      <c r="K249" s="52">
        <v>1128.2470000000001</v>
      </c>
      <c r="L249" s="52">
        <v>376.08229999999998</v>
      </c>
      <c r="M249" s="52">
        <v>376.08229999999998</v>
      </c>
      <c r="N249" s="5" t="s">
        <v>69</v>
      </c>
    </row>
    <row r="250" spans="1:14" x14ac:dyDescent="0.25">
      <c r="A250" s="50">
        <v>1.0389999999999999</v>
      </c>
      <c r="B250" s="52">
        <v>3819.4906000000001</v>
      </c>
      <c r="C250" s="52">
        <v>0</v>
      </c>
      <c r="D250" s="52">
        <v>293.06189999999998</v>
      </c>
      <c r="E250" s="52">
        <v>293.06189999999998</v>
      </c>
      <c r="F250" s="52">
        <v>0</v>
      </c>
      <c r="G250" s="52">
        <v>390.74919999999997</v>
      </c>
      <c r="H250" s="52">
        <v>195.37459999999999</v>
      </c>
      <c r="I250" s="52">
        <v>390.74919999999997</v>
      </c>
      <c r="J250" s="52">
        <v>376.08229999999998</v>
      </c>
      <c r="K250" s="52">
        <v>1128.2470000000001</v>
      </c>
      <c r="L250" s="52">
        <v>376.08229999999998</v>
      </c>
      <c r="M250" s="52">
        <v>376.08229999999998</v>
      </c>
      <c r="N250" s="5" t="s">
        <v>69</v>
      </c>
    </row>
    <row r="251" spans="1:14" x14ac:dyDescent="0.25">
      <c r="A251" s="50">
        <v>1.04</v>
      </c>
      <c r="B251" s="52">
        <v>3820.9949000000001</v>
      </c>
      <c r="C251" s="52">
        <v>0</v>
      </c>
      <c r="D251" s="52">
        <v>293.34390000000002</v>
      </c>
      <c r="E251" s="52">
        <v>293.34390000000002</v>
      </c>
      <c r="F251" s="52">
        <v>0</v>
      </c>
      <c r="G251" s="52">
        <v>391.12520000000001</v>
      </c>
      <c r="H251" s="52">
        <v>195.5626</v>
      </c>
      <c r="I251" s="52">
        <v>391.12520000000001</v>
      </c>
      <c r="J251" s="52">
        <v>376.08229999999998</v>
      </c>
      <c r="K251" s="52">
        <v>1128.2470000000001</v>
      </c>
      <c r="L251" s="52">
        <v>376.08229999999998</v>
      </c>
      <c r="M251" s="52">
        <v>376.08229999999998</v>
      </c>
      <c r="N251" s="5" t="s">
        <v>69</v>
      </c>
    </row>
    <row r="252" spans="1:14" x14ac:dyDescent="0.25">
      <c r="A252" s="50">
        <v>1.0409999999999999</v>
      </c>
      <c r="B252" s="52">
        <v>3822.4992999999999</v>
      </c>
      <c r="C252" s="52">
        <v>0</v>
      </c>
      <c r="D252" s="52">
        <v>293.62599999999998</v>
      </c>
      <c r="E252" s="52">
        <v>293.62599999999998</v>
      </c>
      <c r="F252" s="52">
        <v>0</v>
      </c>
      <c r="G252" s="52">
        <v>391.50130000000001</v>
      </c>
      <c r="H252" s="52">
        <v>195.75069999999999</v>
      </c>
      <c r="I252" s="52">
        <v>391.50130000000001</v>
      </c>
      <c r="J252" s="52">
        <v>376.08229999999998</v>
      </c>
      <c r="K252" s="52">
        <v>1128.2470000000001</v>
      </c>
      <c r="L252" s="52">
        <v>376.08229999999998</v>
      </c>
      <c r="M252" s="52">
        <v>376.08229999999998</v>
      </c>
      <c r="N252" s="5" t="s">
        <v>69</v>
      </c>
    </row>
    <row r="253" spans="1:14" x14ac:dyDescent="0.25">
      <c r="A253" s="50">
        <v>1.042</v>
      </c>
      <c r="B253" s="52">
        <v>3824.0036</v>
      </c>
      <c r="C253" s="52">
        <v>0</v>
      </c>
      <c r="D253" s="52">
        <v>293.90800000000002</v>
      </c>
      <c r="E253" s="52">
        <v>293.90800000000002</v>
      </c>
      <c r="F253" s="52">
        <v>0</v>
      </c>
      <c r="G253" s="52">
        <v>391.87740000000002</v>
      </c>
      <c r="H253" s="52">
        <v>195.93870000000001</v>
      </c>
      <c r="I253" s="52">
        <v>391.87740000000002</v>
      </c>
      <c r="J253" s="52">
        <v>376.08229999999998</v>
      </c>
      <c r="K253" s="52">
        <v>1128.2470000000001</v>
      </c>
      <c r="L253" s="52">
        <v>376.08229999999998</v>
      </c>
      <c r="M253" s="52">
        <v>376.08229999999998</v>
      </c>
      <c r="N253" s="5" t="s">
        <v>69</v>
      </c>
    </row>
    <row r="254" spans="1:14" x14ac:dyDescent="0.25">
      <c r="A254" s="50">
        <v>1.0429999999999999</v>
      </c>
      <c r="B254" s="52">
        <v>3825.5079000000001</v>
      </c>
      <c r="C254" s="52">
        <v>0</v>
      </c>
      <c r="D254" s="52">
        <v>294.19009999999997</v>
      </c>
      <c r="E254" s="52">
        <v>294.19009999999997</v>
      </c>
      <c r="F254" s="52">
        <v>0</v>
      </c>
      <c r="G254" s="52">
        <v>392.25349999999997</v>
      </c>
      <c r="H254" s="52">
        <v>196.1267</v>
      </c>
      <c r="I254" s="52">
        <v>392.25349999999997</v>
      </c>
      <c r="J254" s="52">
        <v>376.08229999999998</v>
      </c>
      <c r="K254" s="52">
        <v>1128.2470000000001</v>
      </c>
      <c r="L254" s="52">
        <v>376.08229999999998</v>
      </c>
      <c r="M254" s="52">
        <v>376.08229999999998</v>
      </c>
      <c r="N254" s="5" t="s">
        <v>69</v>
      </c>
    </row>
    <row r="255" spans="1:14" x14ac:dyDescent="0.25">
      <c r="A255" s="50">
        <v>1.044</v>
      </c>
      <c r="B255" s="52">
        <v>3827.0122000000001</v>
      </c>
      <c r="C255" s="52">
        <v>0</v>
      </c>
      <c r="D255" s="52">
        <v>294.47219999999999</v>
      </c>
      <c r="E255" s="52">
        <v>294.47219999999999</v>
      </c>
      <c r="F255" s="52">
        <v>0</v>
      </c>
      <c r="G255" s="52">
        <v>392.62959999999998</v>
      </c>
      <c r="H255" s="52">
        <v>196.31479999999999</v>
      </c>
      <c r="I255" s="52">
        <v>392.62959999999998</v>
      </c>
      <c r="J255" s="52">
        <v>376.08229999999998</v>
      </c>
      <c r="K255" s="52">
        <v>1128.2470000000001</v>
      </c>
      <c r="L255" s="52">
        <v>376.08229999999998</v>
      </c>
      <c r="M255" s="52">
        <v>376.08229999999998</v>
      </c>
      <c r="N255" s="5" t="s">
        <v>69</v>
      </c>
    </row>
    <row r="256" spans="1:14" x14ac:dyDescent="0.25">
      <c r="A256" s="50">
        <v>1.0449999999999999</v>
      </c>
      <c r="B256" s="52">
        <v>3828.5165999999999</v>
      </c>
      <c r="C256" s="52">
        <v>0</v>
      </c>
      <c r="D256" s="52">
        <v>294.75420000000003</v>
      </c>
      <c r="E256" s="52">
        <v>294.75420000000003</v>
      </c>
      <c r="F256" s="52">
        <v>0</v>
      </c>
      <c r="G256" s="52">
        <v>393.00560000000002</v>
      </c>
      <c r="H256" s="52">
        <v>196.50280000000001</v>
      </c>
      <c r="I256" s="52">
        <v>393.00560000000002</v>
      </c>
      <c r="J256" s="52">
        <v>376.08229999999998</v>
      </c>
      <c r="K256" s="52">
        <v>1128.2470000000001</v>
      </c>
      <c r="L256" s="52">
        <v>376.08229999999998</v>
      </c>
      <c r="M256" s="52">
        <v>376.08229999999998</v>
      </c>
      <c r="N256" s="5" t="s">
        <v>69</v>
      </c>
    </row>
    <row r="257" spans="1:14" x14ac:dyDescent="0.25">
      <c r="A257" s="50">
        <v>1.046</v>
      </c>
      <c r="B257" s="52">
        <v>3830.0209</v>
      </c>
      <c r="C257" s="52">
        <v>0</v>
      </c>
      <c r="D257" s="52">
        <v>295.03629999999998</v>
      </c>
      <c r="E257" s="52">
        <v>295.03629999999998</v>
      </c>
      <c r="F257" s="52">
        <v>0</v>
      </c>
      <c r="G257" s="52">
        <v>393.38170000000002</v>
      </c>
      <c r="H257" s="52">
        <v>196.6909</v>
      </c>
      <c r="I257" s="52">
        <v>393.38170000000002</v>
      </c>
      <c r="J257" s="52">
        <v>376.08229999999998</v>
      </c>
      <c r="K257" s="52">
        <v>1128.2470000000001</v>
      </c>
      <c r="L257" s="52">
        <v>376.08229999999998</v>
      </c>
      <c r="M257" s="52">
        <v>376.08229999999998</v>
      </c>
      <c r="N257" s="5" t="s">
        <v>69</v>
      </c>
    </row>
    <row r="258" spans="1:14" x14ac:dyDescent="0.25">
      <c r="A258" s="50">
        <v>1.0469999999999999</v>
      </c>
      <c r="B258" s="52">
        <v>3831.5252</v>
      </c>
      <c r="C258" s="52">
        <v>0</v>
      </c>
      <c r="D258" s="52">
        <v>295.3184</v>
      </c>
      <c r="E258" s="52">
        <v>295.3184</v>
      </c>
      <c r="F258" s="52">
        <v>0</v>
      </c>
      <c r="G258" s="52">
        <v>393.75779999999997</v>
      </c>
      <c r="H258" s="52">
        <v>196.87889999999999</v>
      </c>
      <c r="I258" s="52">
        <v>393.75779999999997</v>
      </c>
      <c r="J258" s="52">
        <v>376.08229999999998</v>
      </c>
      <c r="K258" s="52">
        <v>1128.2470000000001</v>
      </c>
      <c r="L258" s="52">
        <v>376.08229999999998</v>
      </c>
      <c r="M258" s="52">
        <v>376.08229999999998</v>
      </c>
      <c r="N258" s="5" t="s">
        <v>69</v>
      </c>
    </row>
    <row r="259" spans="1:14" x14ac:dyDescent="0.25">
      <c r="A259" s="50">
        <v>1.048</v>
      </c>
      <c r="B259" s="52">
        <v>3833.0295999999998</v>
      </c>
      <c r="C259" s="52">
        <v>0</v>
      </c>
      <c r="D259" s="52">
        <v>295.60039999999998</v>
      </c>
      <c r="E259" s="52">
        <v>295.60039999999998</v>
      </c>
      <c r="F259" s="52">
        <v>0</v>
      </c>
      <c r="G259" s="52">
        <v>394.13389999999998</v>
      </c>
      <c r="H259" s="52">
        <v>197.0669</v>
      </c>
      <c r="I259" s="52">
        <v>394.13389999999998</v>
      </c>
      <c r="J259" s="52">
        <v>376.08229999999998</v>
      </c>
      <c r="K259" s="52">
        <v>1128.2470000000001</v>
      </c>
      <c r="L259" s="52">
        <v>376.08229999999998</v>
      </c>
      <c r="M259" s="52">
        <v>376.08229999999998</v>
      </c>
      <c r="N259" s="5" t="s">
        <v>69</v>
      </c>
    </row>
    <row r="260" spans="1:14" x14ac:dyDescent="0.25">
      <c r="A260" s="50">
        <v>1.0489999999999999</v>
      </c>
      <c r="B260" s="52">
        <v>3834.5338999999999</v>
      </c>
      <c r="C260" s="52">
        <v>0</v>
      </c>
      <c r="D260" s="52">
        <v>295.88249999999999</v>
      </c>
      <c r="E260" s="52">
        <v>295.88249999999999</v>
      </c>
      <c r="F260" s="52">
        <v>0</v>
      </c>
      <c r="G260" s="52">
        <v>394.51</v>
      </c>
      <c r="H260" s="52">
        <v>197.255</v>
      </c>
      <c r="I260" s="52">
        <v>394.51</v>
      </c>
      <c r="J260" s="52">
        <v>376.08229999999998</v>
      </c>
      <c r="K260" s="52">
        <v>1128.2470000000001</v>
      </c>
      <c r="L260" s="52">
        <v>376.08229999999998</v>
      </c>
      <c r="M260" s="52">
        <v>376.08229999999998</v>
      </c>
      <c r="N260" s="5" t="s">
        <v>69</v>
      </c>
    </row>
    <row r="261" spans="1:14" x14ac:dyDescent="0.25">
      <c r="A261" s="50">
        <v>1.05</v>
      </c>
      <c r="B261" s="52">
        <v>3836.0382</v>
      </c>
      <c r="C261" s="52">
        <v>0</v>
      </c>
      <c r="D261" s="52">
        <v>296.16449999999998</v>
      </c>
      <c r="E261" s="52">
        <v>296.16449999999998</v>
      </c>
      <c r="F261" s="52">
        <v>0</v>
      </c>
      <c r="G261" s="52">
        <v>394.8861</v>
      </c>
      <c r="H261" s="52">
        <v>197.44300000000001</v>
      </c>
      <c r="I261" s="52">
        <v>394.8861</v>
      </c>
      <c r="J261" s="52">
        <v>376.08229999999998</v>
      </c>
      <c r="K261" s="52">
        <v>1128.2470000000001</v>
      </c>
      <c r="L261" s="52">
        <v>376.08229999999998</v>
      </c>
      <c r="M261" s="52">
        <v>376.08229999999998</v>
      </c>
      <c r="N261" s="5" t="s">
        <v>69</v>
      </c>
    </row>
    <row r="262" spans="1:14" x14ac:dyDescent="0.25">
      <c r="A262" s="50">
        <v>1.0509999999999999</v>
      </c>
      <c r="B262" s="52">
        <v>3837.5425</v>
      </c>
      <c r="C262" s="52">
        <v>0</v>
      </c>
      <c r="D262" s="52">
        <v>296.44659999999999</v>
      </c>
      <c r="E262" s="52">
        <v>296.44659999999999</v>
      </c>
      <c r="F262" s="52">
        <v>0</v>
      </c>
      <c r="G262" s="52">
        <v>395.26209999999998</v>
      </c>
      <c r="H262" s="52">
        <v>197.6311</v>
      </c>
      <c r="I262" s="52">
        <v>395.26209999999998</v>
      </c>
      <c r="J262" s="52">
        <v>376.08229999999998</v>
      </c>
      <c r="K262" s="52">
        <v>1128.2470000000001</v>
      </c>
      <c r="L262" s="52">
        <v>376.08229999999998</v>
      </c>
      <c r="M262" s="52">
        <v>376.08229999999998</v>
      </c>
      <c r="N262" s="5" t="s">
        <v>69</v>
      </c>
    </row>
    <row r="263" spans="1:14" x14ac:dyDescent="0.25">
      <c r="A263" s="50">
        <v>1.052</v>
      </c>
      <c r="B263" s="52">
        <v>3839.0468999999998</v>
      </c>
      <c r="C263" s="52">
        <v>0</v>
      </c>
      <c r="D263" s="52">
        <v>296.7287</v>
      </c>
      <c r="E263" s="52">
        <v>296.7287</v>
      </c>
      <c r="F263" s="52">
        <v>0</v>
      </c>
      <c r="G263" s="52">
        <v>395.63819999999998</v>
      </c>
      <c r="H263" s="52">
        <v>197.81909999999999</v>
      </c>
      <c r="I263" s="52">
        <v>395.63819999999998</v>
      </c>
      <c r="J263" s="52">
        <v>376.08229999999998</v>
      </c>
      <c r="K263" s="52">
        <v>1128.2470000000001</v>
      </c>
      <c r="L263" s="52">
        <v>376.08229999999998</v>
      </c>
      <c r="M263" s="52">
        <v>376.08229999999998</v>
      </c>
      <c r="N263" s="5" t="s">
        <v>69</v>
      </c>
    </row>
    <row r="264" spans="1:14" x14ac:dyDescent="0.25">
      <c r="A264" s="50">
        <v>1.0529999999999999</v>
      </c>
      <c r="B264" s="52">
        <v>3840.5511999999999</v>
      </c>
      <c r="C264" s="52">
        <v>0</v>
      </c>
      <c r="D264" s="52">
        <v>297.01069999999999</v>
      </c>
      <c r="E264" s="52">
        <v>297.01069999999999</v>
      </c>
      <c r="F264" s="52">
        <v>0</v>
      </c>
      <c r="G264" s="52">
        <v>396.01429999999999</v>
      </c>
      <c r="H264" s="52">
        <v>198.00720000000001</v>
      </c>
      <c r="I264" s="52">
        <v>396.01429999999999</v>
      </c>
      <c r="J264" s="52">
        <v>376.08229999999998</v>
      </c>
      <c r="K264" s="52">
        <v>1128.2470000000001</v>
      </c>
      <c r="L264" s="52">
        <v>376.08229999999998</v>
      </c>
      <c r="M264" s="52">
        <v>376.08229999999998</v>
      </c>
      <c r="N264" s="5" t="s">
        <v>69</v>
      </c>
    </row>
    <row r="265" spans="1:14" x14ac:dyDescent="0.25">
      <c r="A265" s="50">
        <v>1.054</v>
      </c>
      <c r="B265" s="52">
        <v>3842.0554999999999</v>
      </c>
      <c r="C265" s="52">
        <v>0</v>
      </c>
      <c r="D265" s="52">
        <v>297.2928</v>
      </c>
      <c r="E265" s="52">
        <v>297.2928</v>
      </c>
      <c r="F265" s="52">
        <v>0</v>
      </c>
      <c r="G265" s="52">
        <v>396.3904</v>
      </c>
      <c r="H265" s="52">
        <v>198.1952</v>
      </c>
      <c r="I265" s="52">
        <v>396.3904</v>
      </c>
      <c r="J265" s="52">
        <v>376.08229999999998</v>
      </c>
      <c r="K265" s="52">
        <v>1128.2470000000001</v>
      </c>
      <c r="L265" s="52">
        <v>376.08229999999998</v>
      </c>
      <c r="M265" s="52">
        <v>376.08229999999998</v>
      </c>
      <c r="N265" s="5" t="s">
        <v>69</v>
      </c>
    </row>
    <row r="266" spans="1:14" x14ac:dyDescent="0.25">
      <c r="A266" s="50">
        <v>1.0549999999999999</v>
      </c>
      <c r="B266" s="52">
        <v>3843.5599000000002</v>
      </c>
      <c r="C266" s="52">
        <v>0</v>
      </c>
      <c r="D266" s="52">
        <v>297.57479999999998</v>
      </c>
      <c r="E266" s="52">
        <v>297.57479999999998</v>
      </c>
      <c r="F266" s="52">
        <v>0</v>
      </c>
      <c r="G266" s="52">
        <v>396.76650000000001</v>
      </c>
      <c r="H266" s="52">
        <v>198.38319999999999</v>
      </c>
      <c r="I266" s="52">
        <v>396.76650000000001</v>
      </c>
      <c r="J266" s="52">
        <v>376.08229999999998</v>
      </c>
      <c r="K266" s="52">
        <v>1128.2470000000001</v>
      </c>
      <c r="L266" s="52">
        <v>376.08229999999998</v>
      </c>
      <c r="M266" s="52">
        <v>376.08229999999998</v>
      </c>
      <c r="N266" s="5" t="s">
        <v>69</v>
      </c>
    </row>
    <row r="267" spans="1:14" x14ac:dyDescent="0.25">
      <c r="A267" s="50">
        <v>1.056</v>
      </c>
      <c r="B267" s="52">
        <v>3845.0641999999998</v>
      </c>
      <c r="C267" s="52">
        <v>0</v>
      </c>
      <c r="D267" s="52">
        <v>297.8569</v>
      </c>
      <c r="E267" s="52">
        <v>297.8569</v>
      </c>
      <c r="F267" s="52">
        <v>0</v>
      </c>
      <c r="G267" s="52">
        <v>397.14249999999998</v>
      </c>
      <c r="H267" s="52">
        <v>198.57130000000001</v>
      </c>
      <c r="I267" s="52">
        <v>397.14249999999998</v>
      </c>
      <c r="J267" s="52">
        <v>376.08229999999998</v>
      </c>
      <c r="K267" s="52">
        <v>1128.2470000000001</v>
      </c>
      <c r="L267" s="52">
        <v>376.08229999999998</v>
      </c>
      <c r="M267" s="52">
        <v>376.08229999999998</v>
      </c>
      <c r="N267" s="5" t="s">
        <v>69</v>
      </c>
    </row>
    <row r="268" spans="1:14" x14ac:dyDescent="0.25">
      <c r="A268" s="50">
        <v>1.0569999999999999</v>
      </c>
      <c r="B268" s="52">
        <v>3846.5684999999999</v>
      </c>
      <c r="C268" s="52">
        <v>0</v>
      </c>
      <c r="D268" s="52">
        <v>298.13900000000001</v>
      </c>
      <c r="E268" s="52">
        <v>298.13900000000001</v>
      </c>
      <c r="F268" s="52">
        <v>0</v>
      </c>
      <c r="G268" s="52">
        <v>397.51859999999999</v>
      </c>
      <c r="H268" s="52">
        <v>198.7593</v>
      </c>
      <c r="I268" s="52">
        <v>397.51859999999999</v>
      </c>
      <c r="J268" s="52">
        <v>376.08229999999998</v>
      </c>
      <c r="K268" s="52">
        <v>1128.2470000000001</v>
      </c>
      <c r="L268" s="52">
        <v>376.08229999999998</v>
      </c>
      <c r="M268" s="52">
        <v>376.08229999999998</v>
      </c>
      <c r="N268" s="5" t="s">
        <v>69</v>
      </c>
    </row>
    <row r="269" spans="1:14" x14ac:dyDescent="0.25">
      <c r="A269" s="50">
        <v>1.0580000000000001</v>
      </c>
      <c r="B269" s="52">
        <v>3848.0727999999999</v>
      </c>
      <c r="C269" s="52">
        <v>0</v>
      </c>
      <c r="D269" s="52">
        <v>298.42099999999999</v>
      </c>
      <c r="E269" s="52">
        <v>298.42099999999999</v>
      </c>
      <c r="F269" s="52">
        <v>0</v>
      </c>
      <c r="G269" s="52">
        <v>397.8947</v>
      </c>
      <c r="H269" s="52">
        <v>198.94739999999999</v>
      </c>
      <c r="I269" s="52">
        <v>397.8947</v>
      </c>
      <c r="J269" s="52">
        <v>376.08229999999998</v>
      </c>
      <c r="K269" s="52">
        <v>1128.2470000000001</v>
      </c>
      <c r="L269" s="52">
        <v>376.08229999999998</v>
      </c>
      <c r="M269" s="52">
        <v>376.08229999999998</v>
      </c>
      <c r="N269" s="5" t="s">
        <v>69</v>
      </c>
    </row>
    <row r="270" spans="1:14" x14ac:dyDescent="0.25">
      <c r="A270" s="50">
        <v>1.0589999999999999</v>
      </c>
      <c r="B270" s="52">
        <v>3849.5772000000002</v>
      </c>
      <c r="C270" s="52">
        <v>0</v>
      </c>
      <c r="D270" s="52">
        <v>298.70310000000001</v>
      </c>
      <c r="E270" s="52">
        <v>298.70310000000001</v>
      </c>
      <c r="F270" s="52">
        <v>0</v>
      </c>
      <c r="G270" s="52">
        <v>398.27080000000001</v>
      </c>
      <c r="H270" s="52">
        <v>199.1354</v>
      </c>
      <c r="I270" s="52">
        <v>398.27080000000001</v>
      </c>
      <c r="J270" s="52">
        <v>376.08229999999998</v>
      </c>
      <c r="K270" s="52">
        <v>1128.2470000000001</v>
      </c>
      <c r="L270" s="52">
        <v>376.08229999999998</v>
      </c>
      <c r="M270" s="52">
        <v>376.08229999999998</v>
      </c>
      <c r="N270" s="5" t="s">
        <v>69</v>
      </c>
    </row>
    <row r="271" spans="1:14" x14ac:dyDescent="0.25">
      <c r="A271" s="50">
        <v>1.06</v>
      </c>
      <c r="B271" s="52">
        <v>3851.0814999999998</v>
      </c>
      <c r="C271" s="52">
        <v>0</v>
      </c>
      <c r="D271" s="52">
        <v>298.98520000000002</v>
      </c>
      <c r="E271" s="52">
        <v>298.98520000000002</v>
      </c>
      <c r="F271" s="52">
        <v>0</v>
      </c>
      <c r="G271" s="52">
        <v>398.64690000000002</v>
      </c>
      <c r="H271" s="52">
        <v>199.32339999999999</v>
      </c>
      <c r="I271" s="52">
        <v>398.64690000000002</v>
      </c>
      <c r="J271" s="52">
        <v>376.08229999999998</v>
      </c>
      <c r="K271" s="52">
        <v>1128.2470000000001</v>
      </c>
      <c r="L271" s="52">
        <v>376.08229999999998</v>
      </c>
      <c r="M271" s="52">
        <v>376.08229999999998</v>
      </c>
      <c r="N271" s="5" t="s">
        <v>69</v>
      </c>
    </row>
    <row r="272" spans="1:14" x14ac:dyDescent="0.25">
      <c r="A272" s="50">
        <v>1.0609999999999999</v>
      </c>
      <c r="B272" s="52">
        <v>4354.9710999999998</v>
      </c>
      <c r="C272" s="52">
        <v>0</v>
      </c>
      <c r="D272" s="52">
        <v>393.46449999999999</v>
      </c>
      <c r="E272" s="52">
        <v>393.46449999999999</v>
      </c>
      <c r="F272" s="52">
        <v>0</v>
      </c>
      <c r="G272" s="52">
        <v>524.61929999999995</v>
      </c>
      <c r="H272" s="52">
        <v>262.30959999999999</v>
      </c>
      <c r="I272" s="52">
        <v>524.61929999999995</v>
      </c>
      <c r="J272" s="52">
        <v>376.08229999999998</v>
      </c>
      <c r="K272" s="52">
        <v>1128.2470000000001</v>
      </c>
      <c r="L272" s="52">
        <v>376.08229999999998</v>
      </c>
      <c r="M272" s="52">
        <v>376.08229999999998</v>
      </c>
      <c r="N272" s="5" t="s">
        <v>69</v>
      </c>
    </row>
    <row r="273" spans="1:14" x14ac:dyDescent="0.25">
      <c r="A273" s="50">
        <v>1.0620000000000001</v>
      </c>
      <c r="B273" s="52">
        <v>4356.9489999999996</v>
      </c>
      <c r="C273" s="52">
        <v>0</v>
      </c>
      <c r="D273" s="52">
        <v>393.83530000000002</v>
      </c>
      <c r="E273" s="52">
        <v>393.83530000000002</v>
      </c>
      <c r="F273" s="52">
        <v>0</v>
      </c>
      <c r="G273" s="52">
        <v>525.11369999999999</v>
      </c>
      <c r="H273" s="52">
        <v>262.55689999999998</v>
      </c>
      <c r="I273" s="52">
        <v>525.11369999999999</v>
      </c>
      <c r="J273" s="52">
        <v>376.08229999999998</v>
      </c>
      <c r="K273" s="52">
        <v>1128.2470000000001</v>
      </c>
      <c r="L273" s="52">
        <v>376.08229999999998</v>
      </c>
      <c r="M273" s="52">
        <v>376.08229999999998</v>
      </c>
      <c r="N273" s="5" t="s">
        <v>69</v>
      </c>
    </row>
    <row r="274" spans="1:14" x14ac:dyDescent="0.25">
      <c r="A274" s="50">
        <v>1.0629999999999999</v>
      </c>
      <c r="B274" s="52">
        <v>4358.9268000000002</v>
      </c>
      <c r="C274" s="52">
        <v>0</v>
      </c>
      <c r="D274" s="52">
        <v>394.20620000000002</v>
      </c>
      <c r="E274" s="52">
        <v>394.20620000000002</v>
      </c>
      <c r="F274" s="52">
        <v>0</v>
      </c>
      <c r="G274" s="52">
        <v>525.60820000000001</v>
      </c>
      <c r="H274" s="52">
        <v>262.80410000000001</v>
      </c>
      <c r="I274" s="52">
        <v>525.60820000000001</v>
      </c>
      <c r="J274" s="52">
        <v>376.08229999999998</v>
      </c>
      <c r="K274" s="52">
        <v>1128.2470000000001</v>
      </c>
      <c r="L274" s="52">
        <v>376.08229999999998</v>
      </c>
      <c r="M274" s="52">
        <v>376.08229999999998</v>
      </c>
      <c r="N274" s="5" t="s">
        <v>69</v>
      </c>
    </row>
    <row r="275" spans="1:14" x14ac:dyDescent="0.25">
      <c r="A275" s="50">
        <v>1.0640000000000001</v>
      </c>
      <c r="B275" s="52">
        <v>4360.9045999999998</v>
      </c>
      <c r="C275" s="52">
        <v>0</v>
      </c>
      <c r="D275" s="52">
        <v>394.577</v>
      </c>
      <c r="E275" s="52">
        <v>394.577</v>
      </c>
      <c r="F275" s="52">
        <v>0</v>
      </c>
      <c r="G275" s="52">
        <v>526.10270000000003</v>
      </c>
      <c r="H275" s="52">
        <v>263.05130000000003</v>
      </c>
      <c r="I275" s="52">
        <v>526.10270000000003</v>
      </c>
      <c r="J275" s="52">
        <v>376.08229999999998</v>
      </c>
      <c r="K275" s="52">
        <v>1128.2470000000001</v>
      </c>
      <c r="L275" s="52">
        <v>376.08229999999998</v>
      </c>
      <c r="M275" s="52">
        <v>376.08229999999998</v>
      </c>
      <c r="N275" s="5" t="s">
        <v>69</v>
      </c>
    </row>
    <row r="276" spans="1:14" x14ac:dyDescent="0.25">
      <c r="A276" s="50">
        <v>1.0649999999999999</v>
      </c>
      <c r="B276" s="52">
        <v>4362.8824999999997</v>
      </c>
      <c r="C276" s="52">
        <v>0</v>
      </c>
      <c r="D276" s="52">
        <v>394.94779999999997</v>
      </c>
      <c r="E276" s="52">
        <v>394.94779999999997</v>
      </c>
      <c r="F276" s="52">
        <v>0</v>
      </c>
      <c r="G276" s="52">
        <v>526.59709999999995</v>
      </c>
      <c r="H276" s="52">
        <v>263.29860000000002</v>
      </c>
      <c r="I276" s="52">
        <v>526.59709999999995</v>
      </c>
      <c r="J276" s="52">
        <v>376.08229999999998</v>
      </c>
      <c r="K276" s="52">
        <v>1128.2470000000001</v>
      </c>
      <c r="L276" s="52">
        <v>376.08229999999998</v>
      </c>
      <c r="M276" s="52">
        <v>376.08229999999998</v>
      </c>
      <c r="N276" s="5" t="s">
        <v>69</v>
      </c>
    </row>
    <row r="277" spans="1:14" x14ac:dyDescent="0.25">
      <c r="A277" s="50">
        <v>1.0660000000000001</v>
      </c>
      <c r="B277" s="52">
        <v>4364.8603000000003</v>
      </c>
      <c r="C277" s="52">
        <v>0</v>
      </c>
      <c r="D277" s="52">
        <v>395.31869999999998</v>
      </c>
      <c r="E277" s="52">
        <v>395.31869999999998</v>
      </c>
      <c r="F277" s="52">
        <v>0</v>
      </c>
      <c r="G277" s="52">
        <v>527.09159999999997</v>
      </c>
      <c r="H277" s="52">
        <v>263.54579999999999</v>
      </c>
      <c r="I277" s="52">
        <v>527.09159999999997</v>
      </c>
      <c r="J277" s="52">
        <v>376.08229999999998</v>
      </c>
      <c r="K277" s="52">
        <v>1128.2470000000001</v>
      </c>
      <c r="L277" s="52">
        <v>376.08229999999998</v>
      </c>
      <c r="M277" s="52">
        <v>376.08229999999998</v>
      </c>
      <c r="N277" s="5" t="s">
        <v>69</v>
      </c>
    </row>
    <row r="278" spans="1:14" x14ac:dyDescent="0.25">
      <c r="A278" s="50">
        <v>1.0669999999999999</v>
      </c>
      <c r="B278" s="52">
        <v>4366.8380999999999</v>
      </c>
      <c r="C278" s="52">
        <v>0</v>
      </c>
      <c r="D278" s="52">
        <v>395.68950000000001</v>
      </c>
      <c r="E278" s="52">
        <v>395.68950000000001</v>
      </c>
      <c r="F278" s="52">
        <v>0</v>
      </c>
      <c r="G278" s="52">
        <v>527.58600000000001</v>
      </c>
      <c r="H278" s="52">
        <v>263.79300000000001</v>
      </c>
      <c r="I278" s="52">
        <v>527.58600000000001</v>
      </c>
      <c r="J278" s="52">
        <v>376.08229999999998</v>
      </c>
      <c r="K278" s="52">
        <v>1128.2470000000001</v>
      </c>
      <c r="L278" s="52">
        <v>376.08229999999998</v>
      </c>
      <c r="M278" s="52">
        <v>376.08229999999998</v>
      </c>
      <c r="N278" s="5" t="s">
        <v>69</v>
      </c>
    </row>
    <row r="279" spans="1:14" x14ac:dyDescent="0.25">
      <c r="A279" s="50">
        <v>1.0680000000000001</v>
      </c>
      <c r="B279" s="52">
        <v>4368.8159999999998</v>
      </c>
      <c r="C279" s="52">
        <v>0</v>
      </c>
      <c r="D279" s="52">
        <v>396.06040000000002</v>
      </c>
      <c r="E279" s="52">
        <v>396.06040000000002</v>
      </c>
      <c r="F279" s="52">
        <v>0</v>
      </c>
      <c r="G279" s="52">
        <v>528.08050000000003</v>
      </c>
      <c r="H279" s="52">
        <v>264.04020000000003</v>
      </c>
      <c r="I279" s="52">
        <v>528.08050000000003</v>
      </c>
      <c r="J279" s="52">
        <v>376.08229999999998</v>
      </c>
      <c r="K279" s="52">
        <v>1128.2470000000001</v>
      </c>
      <c r="L279" s="52">
        <v>376.08229999999998</v>
      </c>
      <c r="M279" s="52">
        <v>376.08229999999998</v>
      </c>
      <c r="N279" s="5" t="s">
        <v>69</v>
      </c>
    </row>
    <row r="280" spans="1:14" x14ac:dyDescent="0.25">
      <c r="A280" s="50">
        <v>1.069</v>
      </c>
      <c r="B280" s="52">
        <v>4370.7938000000004</v>
      </c>
      <c r="C280" s="52">
        <v>0</v>
      </c>
      <c r="D280" s="52">
        <v>396.43119999999999</v>
      </c>
      <c r="E280" s="52">
        <v>396.43119999999999</v>
      </c>
      <c r="F280" s="52">
        <v>0</v>
      </c>
      <c r="G280" s="52">
        <v>528.57489999999996</v>
      </c>
      <c r="H280" s="52">
        <v>264.28750000000002</v>
      </c>
      <c r="I280" s="52">
        <v>528.57489999999996</v>
      </c>
      <c r="J280" s="52">
        <v>376.08229999999998</v>
      </c>
      <c r="K280" s="52">
        <v>1128.2470000000001</v>
      </c>
      <c r="L280" s="52">
        <v>376.08229999999998</v>
      </c>
      <c r="M280" s="52">
        <v>376.08229999999998</v>
      </c>
      <c r="N280" s="5" t="s">
        <v>69</v>
      </c>
    </row>
    <row r="281" spans="1:14" x14ac:dyDescent="0.25">
      <c r="A281" s="50">
        <v>1.07</v>
      </c>
      <c r="B281" s="52">
        <v>4372.7716</v>
      </c>
      <c r="C281" s="52">
        <v>0</v>
      </c>
      <c r="D281" s="52">
        <v>396.8021</v>
      </c>
      <c r="E281" s="52">
        <v>396.8021</v>
      </c>
      <c r="F281" s="52">
        <v>0</v>
      </c>
      <c r="G281" s="52">
        <v>529.06939999999997</v>
      </c>
      <c r="H281" s="52">
        <v>264.53469999999999</v>
      </c>
      <c r="I281" s="52">
        <v>529.06939999999997</v>
      </c>
      <c r="J281" s="52">
        <v>376.08229999999998</v>
      </c>
      <c r="K281" s="52">
        <v>1128.2470000000001</v>
      </c>
      <c r="L281" s="52">
        <v>376.08229999999998</v>
      </c>
      <c r="M281" s="52">
        <v>376.08229999999998</v>
      </c>
      <c r="N281" s="5" t="s">
        <v>69</v>
      </c>
    </row>
    <row r="282" spans="1:14" x14ac:dyDescent="0.25">
      <c r="A282" s="50">
        <v>1.071</v>
      </c>
      <c r="B282" s="52">
        <v>4374.7493999999997</v>
      </c>
      <c r="C282" s="52">
        <v>0</v>
      </c>
      <c r="D282" s="52">
        <v>397.17290000000003</v>
      </c>
      <c r="E282" s="52">
        <v>397.17290000000003</v>
      </c>
      <c r="F282" s="52">
        <v>0</v>
      </c>
      <c r="G282" s="52">
        <v>529.56389999999999</v>
      </c>
      <c r="H282" s="52">
        <v>264.78190000000001</v>
      </c>
      <c r="I282" s="52">
        <v>529.56389999999999</v>
      </c>
      <c r="J282" s="52">
        <v>376.08229999999998</v>
      </c>
      <c r="K282" s="52">
        <v>1128.2470000000001</v>
      </c>
      <c r="L282" s="52">
        <v>376.08229999999998</v>
      </c>
      <c r="M282" s="52">
        <v>376.08229999999998</v>
      </c>
      <c r="N282" s="5" t="s">
        <v>69</v>
      </c>
    </row>
    <row r="283" spans="1:14" x14ac:dyDescent="0.25">
      <c r="A283" s="50">
        <v>1.0720000000000001</v>
      </c>
      <c r="B283" s="52">
        <v>4376.7272999999996</v>
      </c>
      <c r="C283" s="52">
        <v>0</v>
      </c>
      <c r="D283" s="52">
        <v>397.5437</v>
      </c>
      <c r="E283" s="52">
        <v>397.5437</v>
      </c>
      <c r="F283" s="52">
        <v>0</v>
      </c>
      <c r="G283" s="52">
        <v>530.05830000000003</v>
      </c>
      <c r="H283" s="52">
        <v>265.0292</v>
      </c>
      <c r="I283" s="52">
        <v>530.05830000000003</v>
      </c>
      <c r="J283" s="52">
        <v>376.08229999999998</v>
      </c>
      <c r="K283" s="52">
        <v>1128.2470000000001</v>
      </c>
      <c r="L283" s="52">
        <v>376.08229999999998</v>
      </c>
      <c r="M283" s="52">
        <v>376.08229999999998</v>
      </c>
      <c r="N283" s="5" t="s">
        <v>69</v>
      </c>
    </row>
    <row r="284" spans="1:14" x14ac:dyDescent="0.25">
      <c r="A284" s="50">
        <v>1.073</v>
      </c>
      <c r="B284" s="52">
        <v>4378.7051000000001</v>
      </c>
      <c r="C284" s="52">
        <v>0</v>
      </c>
      <c r="D284" s="52">
        <v>397.91460000000001</v>
      </c>
      <c r="E284" s="52">
        <v>397.91460000000001</v>
      </c>
      <c r="F284" s="52">
        <v>0</v>
      </c>
      <c r="G284" s="52">
        <v>530.55280000000005</v>
      </c>
      <c r="H284" s="52">
        <v>265.27640000000002</v>
      </c>
      <c r="I284" s="52">
        <v>530.55280000000005</v>
      </c>
      <c r="J284" s="52">
        <v>376.08229999999998</v>
      </c>
      <c r="K284" s="52">
        <v>1128.2470000000001</v>
      </c>
      <c r="L284" s="52">
        <v>376.08229999999998</v>
      </c>
      <c r="M284" s="52">
        <v>376.08229999999998</v>
      </c>
      <c r="N284" s="5" t="s">
        <v>69</v>
      </c>
    </row>
    <row r="285" spans="1:14" x14ac:dyDescent="0.25">
      <c r="A285" s="50">
        <v>1.0740000000000001</v>
      </c>
      <c r="B285" s="52">
        <v>4380.6828999999998</v>
      </c>
      <c r="C285" s="52">
        <v>0</v>
      </c>
      <c r="D285" s="52">
        <v>398.28539999999998</v>
      </c>
      <c r="E285" s="52">
        <v>398.28539999999998</v>
      </c>
      <c r="F285" s="52">
        <v>0</v>
      </c>
      <c r="G285" s="52">
        <v>531.04719999999998</v>
      </c>
      <c r="H285" s="52">
        <v>265.52359999999999</v>
      </c>
      <c r="I285" s="52">
        <v>531.04719999999998</v>
      </c>
      <c r="J285" s="52">
        <v>376.08229999999998</v>
      </c>
      <c r="K285" s="52">
        <v>1128.2470000000001</v>
      </c>
      <c r="L285" s="52">
        <v>376.08229999999998</v>
      </c>
      <c r="M285" s="52">
        <v>376.08229999999998</v>
      </c>
      <c r="N285" s="5" t="s">
        <v>69</v>
      </c>
    </row>
    <row r="286" spans="1:14" x14ac:dyDescent="0.25">
      <c r="A286" s="50">
        <v>1.075</v>
      </c>
      <c r="B286" s="52">
        <v>4382.6607999999997</v>
      </c>
      <c r="C286" s="52">
        <v>0</v>
      </c>
      <c r="D286" s="52">
        <v>398.65629999999999</v>
      </c>
      <c r="E286" s="52">
        <v>398.65629999999999</v>
      </c>
      <c r="F286" s="52">
        <v>0</v>
      </c>
      <c r="G286" s="52">
        <v>531.54169999999999</v>
      </c>
      <c r="H286" s="52">
        <v>265.77080000000001</v>
      </c>
      <c r="I286" s="52">
        <v>531.54169999999999</v>
      </c>
      <c r="J286" s="52">
        <v>376.08229999999998</v>
      </c>
      <c r="K286" s="52">
        <v>1128.2470000000001</v>
      </c>
      <c r="L286" s="52">
        <v>376.08229999999998</v>
      </c>
      <c r="M286" s="52">
        <v>376.08229999999998</v>
      </c>
      <c r="N286" s="5" t="s">
        <v>69</v>
      </c>
    </row>
    <row r="287" spans="1:14" x14ac:dyDescent="0.25">
      <c r="A287" s="50">
        <v>1.0760000000000001</v>
      </c>
      <c r="B287" s="52">
        <v>4384.6386000000002</v>
      </c>
      <c r="C287" s="52">
        <v>0</v>
      </c>
      <c r="D287" s="52">
        <v>399.02710000000002</v>
      </c>
      <c r="E287" s="52">
        <v>399.02710000000002</v>
      </c>
      <c r="F287" s="52">
        <v>0</v>
      </c>
      <c r="G287" s="52">
        <v>532.03610000000003</v>
      </c>
      <c r="H287" s="52">
        <v>266.0181</v>
      </c>
      <c r="I287" s="52">
        <v>532.03610000000003</v>
      </c>
      <c r="J287" s="52">
        <v>376.08229999999998</v>
      </c>
      <c r="K287" s="52">
        <v>1128.2470000000001</v>
      </c>
      <c r="L287" s="52">
        <v>376.08229999999998</v>
      </c>
      <c r="M287" s="52">
        <v>376.08229999999998</v>
      </c>
      <c r="N287" s="5" t="s">
        <v>69</v>
      </c>
    </row>
    <row r="288" spans="1:14" x14ac:dyDescent="0.25">
      <c r="A288" s="50">
        <v>1.077</v>
      </c>
      <c r="B288" s="52">
        <v>4386.6163999999999</v>
      </c>
      <c r="C288" s="52">
        <v>0</v>
      </c>
      <c r="D288" s="52">
        <v>399.39800000000002</v>
      </c>
      <c r="E288" s="52">
        <v>399.39800000000002</v>
      </c>
      <c r="F288" s="52">
        <v>0</v>
      </c>
      <c r="G288" s="52">
        <v>532.53060000000005</v>
      </c>
      <c r="H288" s="52">
        <v>266.26530000000002</v>
      </c>
      <c r="I288" s="52">
        <v>532.53060000000005</v>
      </c>
      <c r="J288" s="52">
        <v>376.08229999999998</v>
      </c>
      <c r="K288" s="52">
        <v>1128.2470000000001</v>
      </c>
      <c r="L288" s="52">
        <v>376.08229999999998</v>
      </c>
      <c r="M288" s="52">
        <v>376.08229999999998</v>
      </c>
      <c r="N288" s="5" t="s">
        <v>69</v>
      </c>
    </row>
    <row r="289" spans="1:14" x14ac:dyDescent="0.25">
      <c r="A289" s="50">
        <v>1.0780000000000001</v>
      </c>
      <c r="B289" s="52">
        <v>4388.5941999999995</v>
      </c>
      <c r="C289" s="52">
        <v>0</v>
      </c>
      <c r="D289" s="52">
        <v>399.7688</v>
      </c>
      <c r="E289" s="52">
        <v>399.7688</v>
      </c>
      <c r="F289" s="52">
        <v>0</v>
      </c>
      <c r="G289" s="52">
        <v>533.02509999999995</v>
      </c>
      <c r="H289" s="52">
        <v>266.51249999999999</v>
      </c>
      <c r="I289" s="52">
        <v>533.02509999999995</v>
      </c>
      <c r="J289" s="52">
        <v>376.08229999999998</v>
      </c>
      <c r="K289" s="52">
        <v>1128.2470000000001</v>
      </c>
      <c r="L289" s="52">
        <v>376.08229999999998</v>
      </c>
      <c r="M289" s="52">
        <v>376.08229999999998</v>
      </c>
      <c r="N289" s="5" t="s">
        <v>69</v>
      </c>
    </row>
    <row r="290" spans="1:14" x14ac:dyDescent="0.25">
      <c r="A290" s="50">
        <v>1.079</v>
      </c>
      <c r="B290" s="52">
        <v>4390.5721000000003</v>
      </c>
      <c r="C290" s="52">
        <v>0</v>
      </c>
      <c r="D290" s="52">
        <v>400.13959999999997</v>
      </c>
      <c r="E290" s="52">
        <v>400.13959999999997</v>
      </c>
      <c r="F290" s="52">
        <v>0</v>
      </c>
      <c r="G290" s="52">
        <v>533.51949999999999</v>
      </c>
      <c r="H290" s="52">
        <v>266.75979999999998</v>
      </c>
      <c r="I290" s="52">
        <v>533.51949999999999</v>
      </c>
      <c r="J290" s="52">
        <v>376.08229999999998</v>
      </c>
      <c r="K290" s="52">
        <v>1128.2470000000001</v>
      </c>
      <c r="L290" s="52">
        <v>376.08229999999998</v>
      </c>
      <c r="M290" s="52">
        <v>376.08229999999998</v>
      </c>
      <c r="N290" s="5" t="s">
        <v>69</v>
      </c>
    </row>
    <row r="291" spans="1:14" x14ac:dyDescent="0.25">
      <c r="A291" s="50">
        <v>1.08</v>
      </c>
      <c r="B291" s="52">
        <v>4392.5499</v>
      </c>
      <c r="C291" s="52">
        <v>0</v>
      </c>
      <c r="D291" s="52">
        <v>400.51049999999998</v>
      </c>
      <c r="E291" s="52">
        <v>400.51049999999998</v>
      </c>
      <c r="F291" s="52">
        <v>0</v>
      </c>
      <c r="G291" s="52">
        <v>534.01400000000001</v>
      </c>
      <c r="H291" s="52">
        <v>267.00700000000001</v>
      </c>
      <c r="I291" s="52">
        <v>534.01400000000001</v>
      </c>
      <c r="J291" s="52">
        <v>376.08229999999998</v>
      </c>
      <c r="K291" s="52">
        <v>1128.2470000000001</v>
      </c>
      <c r="L291" s="52">
        <v>376.08229999999998</v>
      </c>
      <c r="M291" s="52">
        <v>376.08229999999998</v>
      </c>
      <c r="N291" s="5" t="s">
        <v>69</v>
      </c>
    </row>
    <row r="292" spans="1:14" x14ac:dyDescent="0.25">
      <c r="A292" s="50">
        <v>1.081</v>
      </c>
      <c r="B292" s="52">
        <v>4394.5276999999996</v>
      </c>
      <c r="C292" s="52">
        <v>0</v>
      </c>
      <c r="D292" s="52">
        <v>400.88130000000001</v>
      </c>
      <c r="E292" s="52">
        <v>400.88130000000001</v>
      </c>
      <c r="F292" s="52">
        <v>0</v>
      </c>
      <c r="G292" s="52">
        <v>534.50840000000005</v>
      </c>
      <c r="H292" s="52">
        <v>267.25420000000003</v>
      </c>
      <c r="I292" s="52">
        <v>534.50840000000005</v>
      </c>
      <c r="J292" s="52">
        <v>376.08229999999998</v>
      </c>
      <c r="K292" s="52">
        <v>1128.2470000000001</v>
      </c>
      <c r="L292" s="52">
        <v>376.08229999999998</v>
      </c>
      <c r="M292" s="52">
        <v>376.08229999999998</v>
      </c>
      <c r="N292" s="5" t="s">
        <v>69</v>
      </c>
    </row>
    <row r="293" spans="1:14" x14ac:dyDescent="0.25">
      <c r="A293" s="50">
        <v>1.0820000000000001</v>
      </c>
      <c r="B293" s="52">
        <v>4396.5056000000004</v>
      </c>
      <c r="C293" s="52">
        <v>0</v>
      </c>
      <c r="D293" s="52">
        <v>401.25220000000002</v>
      </c>
      <c r="E293" s="52">
        <v>401.25220000000002</v>
      </c>
      <c r="F293" s="52">
        <v>0</v>
      </c>
      <c r="G293" s="52">
        <v>535.00289999999995</v>
      </c>
      <c r="H293" s="52">
        <v>267.50139999999999</v>
      </c>
      <c r="I293" s="52">
        <v>535.00289999999995</v>
      </c>
      <c r="J293" s="52">
        <v>376.08229999999998</v>
      </c>
      <c r="K293" s="52">
        <v>1128.2470000000001</v>
      </c>
      <c r="L293" s="52">
        <v>376.08229999999998</v>
      </c>
      <c r="M293" s="52">
        <v>376.08229999999998</v>
      </c>
      <c r="N293" s="5" t="s">
        <v>69</v>
      </c>
    </row>
    <row r="294" spans="1:14" x14ac:dyDescent="0.25">
      <c r="A294" s="50">
        <v>1.083</v>
      </c>
      <c r="B294" s="52">
        <v>4398.4834000000001</v>
      </c>
      <c r="C294" s="52">
        <v>0</v>
      </c>
      <c r="D294" s="52">
        <v>401.62299999999999</v>
      </c>
      <c r="E294" s="52">
        <v>401.62299999999999</v>
      </c>
      <c r="F294" s="52">
        <v>0</v>
      </c>
      <c r="G294" s="52">
        <v>535.4973</v>
      </c>
      <c r="H294" s="52">
        <v>267.74869999999999</v>
      </c>
      <c r="I294" s="52">
        <v>535.4973</v>
      </c>
      <c r="J294" s="52">
        <v>376.08229999999998</v>
      </c>
      <c r="K294" s="52">
        <v>1128.2470000000001</v>
      </c>
      <c r="L294" s="52">
        <v>376.08229999999998</v>
      </c>
      <c r="M294" s="52">
        <v>376.08229999999998</v>
      </c>
      <c r="N294" s="5" t="s">
        <v>69</v>
      </c>
    </row>
    <row r="295" spans="1:14" x14ac:dyDescent="0.25">
      <c r="A295" s="50">
        <v>1.0840000000000001</v>
      </c>
      <c r="B295" s="52">
        <v>4400.4611999999997</v>
      </c>
      <c r="C295" s="52">
        <v>0</v>
      </c>
      <c r="D295" s="52">
        <v>401.9939</v>
      </c>
      <c r="E295" s="52">
        <v>401.9939</v>
      </c>
      <c r="F295" s="52">
        <v>0</v>
      </c>
      <c r="G295" s="52">
        <v>535.99180000000001</v>
      </c>
      <c r="H295" s="52">
        <v>267.99590000000001</v>
      </c>
      <c r="I295" s="52">
        <v>535.99180000000001</v>
      </c>
      <c r="J295" s="52">
        <v>376.08229999999998</v>
      </c>
      <c r="K295" s="52">
        <v>1128.2470000000001</v>
      </c>
      <c r="L295" s="52">
        <v>376.08229999999998</v>
      </c>
      <c r="M295" s="52">
        <v>376.08229999999998</v>
      </c>
      <c r="N295" s="5" t="s">
        <v>69</v>
      </c>
    </row>
    <row r="296" spans="1:14" x14ac:dyDescent="0.25">
      <c r="A296" s="50">
        <v>1.085</v>
      </c>
      <c r="B296" s="52">
        <v>4402.4390999999996</v>
      </c>
      <c r="C296" s="52">
        <v>0</v>
      </c>
      <c r="D296" s="52">
        <v>402.36470000000003</v>
      </c>
      <c r="E296" s="52">
        <v>402.36470000000003</v>
      </c>
      <c r="F296" s="52">
        <v>0</v>
      </c>
      <c r="G296" s="52">
        <v>536.48630000000003</v>
      </c>
      <c r="H296" s="52">
        <v>268.24310000000003</v>
      </c>
      <c r="I296" s="52">
        <v>536.48630000000003</v>
      </c>
      <c r="J296" s="52">
        <v>376.08229999999998</v>
      </c>
      <c r="K296" s="52">
        <v>1128.2470000000001</v>
      </c>
      <c r="L296" s="52">
        <v>376.08229999999998</v>
      </c>
      <c r="M296" s="52">
        <v>376.08229999999998</v>
      </c>
      <c r="N296" s="5" t="s">
        <v>69</v>
      </c>
    </row>
    <row r="297" spans="1:14" x14ac:dyDescent="0.25">
      <c r="A297" s="50">
        <v>1.0860000000000001</v>
      </c>
      <c r="B297" s="52">
        <v>4404.4169000000002</v>
      </c>
      <c r="C297" s="52">
        <v>0</v>
      </c>
      <c r="D297" s="52">
        <v>402.7355</v>
      </c>
      <c r="E297" s="52">
        <v>402.7355</v>
      </c>
      <c r="F297" s="52">
        <v>0</v>
      </c>
      <c r="G297" s="52">
        <v>536.98069999999996</v>
      </c>
      <c r="H297" s="52">
        <v>268.49040000000002</v>
      </c>
      <c r="I297" s="52">
        <v>536.98069999999996</v>
      </c>
      <c r="J297" s="52">
        <v>376.08229999999998</v>
      </c>
      <c r="K297" s="52">
        <v>1128.2470000000001</v>
      </c>
      <c r="L297" s="52">
        <v>376.08229999999998</v>
      </c>
      <c r="M297" s="52">
        <v>376.08229999999998</v>
      </c>
      <c r="N297" s="5" t="s">
        <v>69</v>
      </c>
    </row>
    <row r="298" spans="1:14" x14ac:dyDescent="0.25">
      <c r="A298" s="50">
        <v>1.087</v>
      </c>
      <c r="B298" s="52">
        <v>4406.3946999999998</v>
      </c>
      <c r="C298" s="52">
        <v>0</v>
      </c>
      <c r="D298" s="52">
        <v>403.10640000000001</v>
      </c>
      <c r="E298" s="52">
        <v>403.10640000000001</v>
      </c>
      <c r="F298" s="52">
        <v>0</v>
      </c>
      <c r="G298" s="52">
        <v>537.47519999999997</v>
      </c>
      <c r="H298" s="52">
        <v>268.73759999999999</v>
      </c>
      <c r="I298" s="52">
        <v>537.47519999999997</v>
      </c>
      <c r="J298" s="52">
        <v>376.08229999999998</v>
      </c>
      <c r="K298" s="52">
        <v>1128.2470000000001</v>
      </c>
      <c r="L298" s="52">
        <v>376.08229999999998</v>
      </c>
      <c r="M298" s="52">
        <v>376.08229999999998</v>
      </c>
      <c r="N298" s="5" t="s">
        <v>69</v>
      </c>
    </row>
    <row r="299" spans="1:14" x14ac:dyDescent="0.25">
      <c r="A299" s="50">
        <v>1.0880000000000001</v>
      </c>
      <c r="B299" s="52">
        <v>4408.3725000000004</v>
      </c>
      <c r="C299" s="52">
        <v>0</v>
      </c>
      <c r="D299" s="52">
        <v>403.47719999999998</v>
      </c>
      <c r="E299" s="52">
        <v>403.47719999999998</v>
      </c>
      <c r="F299" s="52">
        <v>0</v>
      </c>
      <c r="G299" s="52">
        <v>537.96960000000001</v>
      </c>
      <c r="H299" s="52">
        <v>268.98480000000001</v>
      </c>
      <c r="I299" s="52">
        <v>537.96960000000001</v>
      </c>
      <c r="J299" s="52">
        <v>376.08229999999998</v>
      </c>
      <c r="K299" s="52">
        <v>1128.2470000000001</v>
      </c>
      <c r="L299" s="52">
        <v>376.08229999999998</v>
      </c>
      <c r="M299" s="52">
        <v>376.08229999999998</v>
      </c>
      <c r="N299" s="5" t="s">
        <v>69</v>
      </c>
    </row>
    <row r="300" spans="1:14" x14ac:dyDescent="0.25">
      <c r="A300" s="50">
        <v>1.089</v>
      </c>
      <c r="B300" s="52">
        <v>4410.3504000000003</v>
      </c>
      <c r="C300" s="52">
        <v>0</v>
      </c>
      <c r="D300" s="52">
        <v>403.84809999999999</v>
      </c>
      <c r="E300" s="52">
        <v>403.84809999999999</v>
      </c>
      <c r="F300" s="52">
        <v>0</v>
      </c>
      <c r="G300" s="52">
        <v>538.46410000000003</v>
      </c>
      <c r="H300" s="52">
        <v>269.23200000000003</v>
      </c>
      <c r="I300" s="52">
        <v>538.46410000000003</v>
      </c>
      <c r="J300" s="52">
        <v>376.08229999999998</v>
      </c>
      <c r="K300" s="52">
        <v>1128.2470000000001</v>
      </c>
      <c r="L300" s="52">
        <v>376.08229999999998</v>
      </c>
      <c r="M300" s="52">
        <v>376.08229999999998</v>
      </c>
      <c r="N300" s="5" t="s">
        <v>69</v>
      </c>
    </row>
    <row r="301" spans="1:14" x14ac:dyDescent="0.25">
      <c r="A301" s="50">
        <v>1.0900000000000001</v>
      </c>
      <c r="B301" s="52">
        <v>4412.3281999999999</v>
      </c>
      <c r="C301" s="52">
        <v>0</v>
      </c>
      <c r="D301" s="52">
        <v>404.21890000000002</v>
      </c>
      <c r="E301" s="52">
        <v>404.21890000000002</v>
      </c>
      <c r="F301" s="52">
        <v>0</v>
      </c>
      <c r="G301" s="52">
        <v>538.95860000000005</v>
      </c>
      <c r="H301" s="52">
        <v>269.47930000000002</v>
      </c>
      <c r="I301" s="52">
        <v>538.95860000000005</v>
      </c>
      <c r="J301" s="52">
        <v>376.08229999999998</v>
      </c>
      <c r="K301" s="52">
        <v>1128.2470000000001</v>
      </c>
      <c r="L301" s="52">
        <v>376.08229999999998</v>
      </c>
      <c r="M301" s="52">
        <v>376.08229999999998</v>
      </c>
      <c r="N301" s="5" t="s">
        <v>69</v>
      </c>
    </row>
    <row r="302" spans="1:14" x14ac:dyDescent="0.25">
      <c r="A302" s="50">
        <v>1.091</v>
      </c>
      <c r="B302" s="52">
        <v>4414.3059999999996</v>
      </c>
      <c r="C302" s="52">
        <v>0</v>
      </c>
      <c r="D302" s="52">
        <v>404.58980000000003</v>
      </c>
      <c r="E302" s="52">
        <v>404.58980000000003</v>
      </c>
      <c r="F302" s="52">
        <v>0</v>
      </c>
      <c r="G302" s="52">
        <v>539.45299999999997</v>
      </c>
      <c r="H302" s="52">
        <v>269.72649999999999</v>
      </c>
      <c r="I302" s="52">
        <v>539.45299999999997</v>
      </c>
      <c r="J302" s="52">
        <v>376.08229999999998</v>
      </c>
      <c r="K302" s="52">
        <v>1128.2470000000001</v>
      </c>
      <c r="L302" s="52">
        <v>376.08229999999998</v>
      </c>
      <c r="M302" s="52">
        <v>376.08229999999998</v>
      </c>
      <c r="N302" s="5" t="s">
        <v>69</v>
      </c>
    </row>
    <row r="303" spans="1:14" x14ac:dyDescent="0.25">
      <c r="A303" s="50">
        <v>1.0920000000000001</v>
      </c>
      <c r="B303" s="52">
        <v>4416.2839000000004</v>
      </c>
      <c r="C303" s="52">
        <v>0</v>
      </c>
      <c r="D303" s="52">
        <v>404.9606</v>
      </c>
      <c r="E303" s="52">
        <v>404.9606</v>
      </c>
      <c r="F303" s="52">
        <v>0</v>
      </c>
      <c r="G303" s="52">
        <v>539.94749999999999</v>
      </c>
      <c r="H303" s="52">
        <v>269.97370000000001</v>
      </c>
      <c r="I303" s="52">
        <v>539.94749999999999</v>
      </c>
      <c r="J303" s="52">
        <v>376.08229999999998</v>
      </c>
      <c r="K303" s="52">
        <v>1128.2470000000001</v>
      </c>
      <c r="L303" s="52">
        <v>376.08229999999998</v>
      </c>
      <c r="M303" s="52">
        <v>376.08229999999998</v>
      </c>
      <c r="N303" s="5" t="s">
        <v>69</v>
      </c>
    </row>
    <row r="304" spans="1:14" x14ac:dyDescent="0.25">
      <c r="A304" s="50">
        <v>1.093</v>
      </c>
      <c r="B304" s="52">
        <v>4418.2617</v>
      </c>
      <c r="C304" s="52">
        <v>0</v>
      </c>
      <c r="D304" s="52">
        <v>405.33139999999997</v>
      </c>
      <c r="E304" s="52">
        <v>405.33139999999997</v>
      </c>
      <c r="F304" s="52">
        <v>0</v>
      </c>
      <c r="G304" s="52">
        <v>540.44190000000003</v>
      </c>
      <c r="H304" s="52">
        <v>270.221</v>
      </c>
      <c r="I304" s="52">
        <v>540.44190000000003</v>
      </c>
      <c r="J304" s="52">
        <v>376.08229999999998</v>
      </c>
      <c r="K304" s="52">
        <v>1128.2470000000001</v>
      </c>
      <c r="L304" s="52">
        <v>376.08229999999998</v>
      </c>
      <c r="M304" s="52">
        <v>376.08229999999998</v>
      </c>
      <c r="N304" s="5" t="s">
        <v>69</v>
      </c>
    </row>
    <row r="305" spans="1:14" x14ac:dyDescent="0.25">
      <c r="A305" s="50">
        <v>1.0940000000000001</v>
      </c>
      <c r="B305" s="52">
        <v>4420.2394999999997</v>
      </c>
      <c r="C305" s="52">
        <v>0</v>
      </c>
      <c r="D305" s="52">
        <v>405.70229999999998</v>
      </c>
      <c r="E305" s="52">
        <v>405.70229999999998</v>
      </c>
      <c r="F305" s="52">
        <v>0</v>
      </c>
      <c r="G305" s="52">
        <v>540.93640000000005</v>
      </c>
      <c r="H305" s="52">
        <v>270.46820000000002</v>
      </c>
      <c r="I305" s="52">
        <v>540.93640000000005</v>
      </c>
      <c r="J305" s="52">
        <v>376.08229999999998</v>
      </c>
      <c r="K305" s="52">
        <v>1128.2470000000001</v>
      </c>
      <c r="L305" s="52">
        <v>376.08229999999998</v>
      </c>
      <c r="M305" s="52">
        <v>376.08229999999998</v>
      </c>
      <c r="N305" s="5" t="s">
        <v>69</v>
      </c>
    </row>
    <row r="306" spans="1:14" x14ac:dyDescent="0.25">
      <c r="A306" s="50">
        <v>1.095</v>
      </c>
      <c r="B306" s="52">
        <v>4422.2173000000003</v>
      </c>
      <c r="C306" s="52">
        <v>0</v>
      </c>
      <c r="D306" s="52">
        <v>406.07310000000001</v>
      </c>
      <c r="E306" s="52">
        <v>406.07310000000001</v>
      </c>
      <c r="F306" s="52">
        <v>0</v>
      </c>
      <c r="G306" s="52">
        <v>541.43079999999998</v>
      </c>
      <c r="H306" s="52">
        <v>270.71539999999999</v>
      </c>
      <c r="I306" s="52">
        <v>541.43079999999998</v>
      </c>
      <c r="J306" s="52">
        <v>376.08229999999998</v>
      </c>
      <c r="K306" s="52">
        <v>1128.2470000000001</v>
      </c>
      <c r="L306" s="52">
        <v>376.08229999999998</v>
      </c>
      <c r="M306" s="52">
        <v>376.08229999999998</v>
      </c>
      <c r="N306" s="5" t="s">
        <v>69</v>
      </c>
    </row>
    <row r="307" spans="1:14" x14ac:dyDescent="0.25">
      <c r="A307" s="50">
        <v>1.0960000000000001</v>
      </c>
      <c r="B307" s="52">
        <v>4424.1952000000001</v>
      </c>
      <c r="C307" s="52">
        <v>0</v>
      </c>
      <c r="D307" s="52">
        <v>406.44400000000002</v>
      </c>
      <c r="E307" s="52">
        <v>406.44400000000002</v>
      </c>
      <c r="F307" s="52">
        <v>0</v>
      </c>
      <c r="G307" s="52">
        <v>541.92529999999999</v>
      </c>
      <c r="H307" s="52">
        <v>270.96260000000001</v>
      </c>
      <c r="I307" s="52">
        <v>541.92529999999999</v>
      </c>
      <c r="J307" s="52">
        <v>376.08229999999998</v>
      </c>
      <c r="K307" s="52">
        <v>1128.2470000000001</v>
      </c>
      <c r="L307" s="52">
        <v>376.08229999999998</v>
      </c>
      <c r="M307" s="52">
        <v>376.08229999999998</v>
      </c>
      <c r="N307" s="5" t="s">
        <v>69</v>
      </c>
    </row>
    <row r="308" spans="1:14" x14ac:dyDescent="0.25">
      <c r="A308" s="50">
        <v>1.097</v>
      </c>
      <c r="B308" s="52">
        <v>4426.1729999999998</v>
      </c>
      <c r="C308" s="52">
        <v>0</v>
      </c>
      <c r="D308" s="52">
        <v>406.81479999999999</v>
      </c>
      <c r="E308" s="52">
        <v>406.81479999999999</v>
      </c>
      <c r="F308" s="52">
        <v>0</v>
      </c>
      <c r="G308" s="52">
        <v>542.41980000000001</v>
      </c>
      <c r="H308" s="52">
        <v>271.2099</v>
      </c>
      <c r="I308" s="52">
        <v>542.41980000000001</v>
      </c>
      <c r="J308" s="52">
        <v>376.08229999999998</v>
      </c>
      <c r="K308" s="52">
        <v>1128.2470000000001</v>
      </c>
      <c r="L308" s="52">
        <v>376.08229999999998</v>
      </c>
      <c r="M308" s="52">
        <v>376.08229999999998</v>
      </c>
      <c r="N308" s="5" t="s">
        <v>69</v>
      </c>
    </row>
    <row r="309" spans="1:14" x14ac:dyDescent="0.25">
      <c r="A309" s="50">
        <v>1.0980000000000001</v>
      </c>
      <c r="B309" s="52">
        <v>4428.1508000000003</v>
      </c>
      <c r="C309" s="52">
        <v>0</v>
      </c>
      <c r="D309" s="52">
        <v>407.1857</v>
      </c>
      <c r="E309" s="52">
        <v>407.1857</v>
      </c>
      <c r="F309" s="52">
        <v>0</v>
      </c>
      <c r="G309" s="52">
        <v>542.91420000000005</v>
      </c>
      <c r="H309" s="52">
        <v>271.45710000000003</v>
      </c>
      <c r="I309" s="52">
        <v>542.91420000000005</v>
      </c>
      <c r="J309" s="52">
        <v>376.08229999999998</v>
      </c>
      <c r="K309" s="52">
        <v>1128.2470000000001</v>
      </c>
      <c r="L309" s="52">
        <v>376.08229999999998</v>
      </c>
      <c r="M309" s="52">
        <v>376.08229999999998</v>
      </c>
      <c r="N309" s="5" t="s">
        <v>69</v>
      </c>
    </row>
    <row r="310" spans="1:14" x14ac:dyDescent="0.25">
      <c r="A310" s="50">
        <v>1.099</v>
      </c>
      <c r="B310" s="52">
        <v>4430.1287000000002</v>
      </c>
      <c r="C310" s="52">
        <v>0</v>
      </c>
      <c r="D310" s="52">
        <v>407.55650000000003</v>
      </c>
      <c r="E310" s="52">
        <v>407.55650000000003</v>
      </c>
      <c r="F310" s="52">
        <v>0</v>
      </c>
      <c r="G310" s="52">
        <v>543.40869999999995</v>
      </c>
      <c r="H310" s="52">
        <v>271.70429999999999</v>
      </c>
      <c r="I310" s="52">
        <v>543.40869999999995</v>
      </c>
      <c r="J310" s="52">
        <v>376.08229999999998</v>
      </c>
      <c r="K310" s="52">
        <v>1128.2470000000001</v>
      </c>
      <c r="L310" s="52">
        <v>376.08229999999998</v>
      </c>
      <c r="M310" s="52">
        <v>376.08229999999998</v>
      </c>
      <c r="N310" s="5" t="s">
        <v>69</v>
      </c>
    </row>
    <row r="311" spans="1:14" x14ac:dyDescent="0.25">
      <c r="A311" s="50">
        <v>1.1000000000000001</v>
      </c>
      <c r="B311" s="52">
        <v>5084.7902000000004</v>
      </c>
      <c r="C311" s="52">
        <v>0</v>
      </c>
      <c r="D311" s="52">
        <v>530.30550000000005</v>
      </c>
      <c r="E311" s="52">
        <v>530.30550000000005</v>
      </c>
      <c r="F311" s="52">
        <v>0</v>
      </c>
      <c r="G311" s="52">
        <v>707.07410000000004</v>
      </c>
      <c r="H311" s="52">
        <v>353.53699999999998</v>
      </c>
      <c r="I311" s="52">
        <v>707.07410000000004</v>
      </c>
      <c r="J311" s="52">
        <v>376.08229999999998</v>
      </c>
      <c r="K311" s="52">
        <v>1128.2470000000001</v>
      </c>
      <c r="L311" s="52">
        <v>376.08229999999998</v>
      </c>
      <c r="M311" s="52">
        <v>376.08229999999998</v>
      </c>
      <c r="N311" s="5" t="s">
        <v>69</v>
      </c>
    </row>
    <row r="312" spans="1:14" x14ac:dyDescent="0.25">
      <c r="A312" s="50">
        <v>1.101</v>
      </c>
      <c r="B312" s="52">
        <v>5087.3613999999998</v>
      </c>
      <c r="C312" s="52">
        <v>0</v>
      </c>
      <c r="D312" s="52">
        <v>530.7876</v>
      </c>
      <c r="E312" s="52">
        <v>530.7876</v>
      </c>
      <c r="F312" s="52">
        <v>0</v>
      </c>
      <c r="G312" s="52">
        <v>707.71690000000001</v>
      </c>
      <c r="H312" s="52">
        <v>353.85840000000002</v>
      </c>
      <c r="I312" s="52">
        <v>707.71690000000001</v>
      </c>
      <c r="J312" s="52">
        <v>376.08229999999998</v>
      </c>
      <c r="K312" s="52">
        <v>1128.2470000000001</v>
      </c>
      <c r="L312" s="52">
        <v>376.08229999999998</v>
      </c>
      <c r="M312" s="52">
        <v>376.08229999999998</v>
      </c>
      <c r="N312" s="5" t="s">
        <v>69</v>
      </c>
    </row>
    <row r="313" spans="1:14" x14ac:dyDescent="0.25">
      <c r="A313" s="50">
        <v>1.1020000000000001</v>
      </c>
      <c r="B313" s="52">
        <v>5089.9326000000001</v>
      </c>
      <c r="C313" s="52">
        <v>0</v>
      </c>
      <c r="D313" s="52">
        <v>531.26969999999994</v>
      </c>
      <c r="E313" s="52">
        <v>531.26969999999994</v>
      </c>
      <c r="F313" s="52">
        <v>0</v>
      </c>
      <c r="G313" s="52">
        <v>708.35969999999998</v>
      </c>
      <c r="H313" s="52">
        <v>354.1798</v>
      </c>
      <c r="I313" s="52">
        <v>708.35969999999998</v>
      </c>
      <c r="J313" s="52">
        <v>376.08229999999998</v>
      </c>
      <c r="K313" s="52">
        <v>1128.2470000000001</v>
      </c>
      <c r="L313" s="52">
        <v>376.08229999999998</v>
      </c>
      <c r="M313" s="52">
        <v>376.08229999999998</v>
      </c>
      <c r="N313" s="5" t="s">
        <v>69</v>
      </c>
    </row>
    <row r="314" spans="1:14" x14ac:dyDescent="0.25">
      <c r="A314" s="50">
        <v>1.103</v>
      </c>
      <c r="B314" s="52">
        <v>5092.5038000000004</v>
      </c>
      <c r="C314" s="52">
        <v>0</v>
      </c>
      <c r="D314" s="52">
        <v>531.7518</v>
      </c>
      <c r="E314" s="52">
        <v>531.7518</v>
      </c>
      <c r="F314" s="52">
        <v>0</v>
      </c>
      <c r="G314" s="52">
        <v>709.00239999999997</v>
      </c>
      <c r="H314" s="52">
        <v>354.50119999999998</v>
      </c>
      <c r="I314" s="52">
        <v>709.00239999999997</v>
      </c>
      <c r="J314" s="52">
        <v>376.08229999999998</v>
      </c>
      <c r="K314" s="52">
        <v>1128.2470000000001</v>
      </c>
      <c r="L314" s="52">
        <v>376.08229999999998</v>
      </c>
      <c r="M314" s="52">
        <v>376.08229999999998</v>
      </c>
      <c r="N314" s="5" t="s">
        <v>69</v>
      </c>
    </row>
    <row r="315" spans="1:14" x14ac:dyDescent="0.25">
      <c r="A315" s="50">
        <v>1.1040000000000001</v>
      </c>
      <c r="B315" s="52">
        <v>5095.0749999999998</v>
      </c>
      <c r="C315" s="52">
        <v>0</v>
      </c>
      <c r="D315" s="52">
        <v>532.23389999999995</v>
      </c>
      <c r="E315" s="52">
        <v>532.23389999999995</v>
      </c>
      <c r="F315" s="52">
        <v>0</v>
      </c>
      <c r="G315" s="52">
        <v>709.64520000000005</v>
      </c>
      <c r="H315" s="52">
        <v>354.82260000000002</v>
      </c>
      <c r="I315" s="52">
        <v>709.64520000000005</v>
      </c>
      <c r="J315" s="52">
        <v>376.08229999999998</v>
      </c>
      <c r="K315" s="52">
        <v>1128.2470000000001</v>
      </c>
      <c r="L315" s="52">
        <v>376.08229999999998</v>
      </c>
      <c r="M315" s="52">
        <v>376.08229999999998</v>
      </c>
      <c r="N315" s="5" t="s">
        <v>69</v>
      </c>
    </row>
    <row r="316" spans="1:14" x14ac:dyDescent="0.25">
      <c r="A316" s="50">
        <v>1.105</v>
      </c>
      <c r="B316" s="52">
        <v>5097.6460999999999</v>
      </c>
      <c r="C316" s="52">
        <v>0</v>
      </c>
      <c r="D316" s="52">
        <v>532.71600000000001</v>
      </c>
      <c r="E316" s="52">
        <v>532.71600000000001</v>
      </c>
      <c r="F316" s="52">
        <v>0</v>
      </c>
      <c r="G316" s="52">
        <v>710.28800000000001</v>
      </c>
      <c r="H316" s="52">
        <v>355.14400000000001</v>
      </c>
      <c r="I316" s="52">
        <v>710.28800000000001</v>
      </c>
      <c r="J316" s="52">
        <v>376.08229999999998</v>
      </c>
      <c r="K316" s="52">
        <v>1128.2470000000001</v>
      </c>
      <c r="L316" s="52">
        <v>376.08229999999998</v>
      </c>
      <c r="M316" s="52">
        <v>376.08229999999998</v>
      </c>
      <c r="N316" s="5" t="s">
        <v>69</v>
      </c>
    </row>
    <row r="317" spans="1:14" x14ac:dyDescent="0.25">
      <c r="A317" s="50">
        <v>1.1060000000000001</v>
      </c>
      <c r="B317" s="52">
        <v>5100.2173000000003</v>
      </c>
      <c r="C317" s="52">
        <v>0</v>
      </c>
      <c r="D317" s="52">
        <v>533.19809999999995</v>
      </c>
      <c r="E317" s="52">
        <v>533.19809999999995</v>
      </c>
      <c r="F317" s="52">
        <v>0</v>
      </c>
      <c r="G317" s="52">
        <v>710.93079999999998</v>
      </c>
      <c r="H317" s="52">
        <v>355.46539999999999</v>
      </c>
      <c r="I317" s="52">
        <v>710.93079999999998</v>
      </c>
      <c r="J317" s="52">
        <v>376.08229999999998</v>
      </c>
      <c r="K317" s="52">
        <v>1128.2470000000001</v>
      </c>
      <c r="L317" s="52">
        <v>376.08229999999998</v>
      </c>
      <c r="M317" s="52">
        <v>376.08229999999998</v>
      </c>
      <c r="N317" s="5" t="s">
        <v>69</v>
      </c>
    </row>
    <row r="318" spans="1:14" x14ac:dyDescent="0.25">
      <c r="A318" s="50">
        <v>1.107</v>
      </c>
      <c r="B318" s="52">
        <v>5102.7884999999997</v>
      </c>
      <c r="C318" s="52">
        <v>0</v>
      </c>
      <c r="D318" s="52">
        <v>533.68020000000001</v>
      </c>
      <c r="E318" s="52">
        <v>533.68020000000001</v>
      </c>
      <c r="F318" s="52">
        <v>0</v>
      </c>
      <c r="G318" s="52">
        <v>711.57360000000006</v>
      </c>
      <c r="H318" s="52">
        <v>355.78680000000003</v>
      </c>
      <c r="I318" s="52">
        <v>711.57360000000006</v>
      </c>
      <c r="J318" s="52">
        <v>376.08229999999998</v>
      </c>
      <c r="K318" s="52">
        <v>1128.2470000000001</v>
      </c>
      <c r="L318" s="52">
        <v>376.08229999999998</v>
      </c>
      <c r="M318" s="52">
        <v>376.08229999999998</v>
      </c>
      <c r="N318" s="5" t="s">
        <v>69</v>
      </c>
    </row>
    <row r="319" spans="1:14" x14ac:dyDescent="0.25">
      <c r="A319" s="50">
        <v>1.1080000000000001</v>
      </c>
      <c r="B319" s="52">
        <v>5105.3597</v>
      </c>
      <c r="C319" s="52">
        <v>0</v>
      </c>
      <c r="D319" s="52">
        <v>534.16229999999996</v>
      </c>
      <c r="E319" s="52">
        <v>534.16229999999996</v>
      </c>
      <c r="F319" s="52">
        <v>0</v>
      </c>
      <c r="G319" s="52">
        <v>712.21640000000002</v>
      </c>
      <c r="H319" s="52">
        <v>356.10820000000001</v>
      </c>
      <c r="I319" s="52">
        <v>712.21640000000002</v>
      </c>
      <c r="J319" s="52">
        <v>376.08229999999998</v>
      </c>
      <c r="K319" s="52">
        <v>1128.2470000000001</v>
      </c>
      <c r="L319" s="52">
        <v>376.08229999999998</v>
      </c>
      <c r="M319" s="52">
        <v>376.08229999999998</v>
      </c>
      <c r="N319" s="5" t="s">
        <v>69</v>
      </c>
    </row>
    <row r="320" spans="1:14" x14ac:dyDescent="0.25">
      <c r="A320" s="50">
        <v>1.109</v>
      </c>
      <c r="B320" s="52">
        <v>5107.9309000000003</v>
      </c>
      <c r="C320" s="52">
        <v>0</v>
      </c>
      <c r="D320" s="52">
        <v>534.64440000000002</v>
      </c>
      <c r="E320" s="52">
        <v>534.64440000000002</v>
      </c>
      <c r="F320" s="52">
        <v>0</v>
      </c>
      <c r="G320" s="52">
        <v>712.85919999999999</v>
      </c>
      <c r="H320" s="52">
        <v>356.42959999999999</v>
      </c>
      <c r="I320" s="52">
        <v>712.85919999999999</v>
      </c>
      <c r="J320" s="52">
        <v>376.08229999999998</v>
      </c>
      <c r="K320" s="52">
        <v>1128.2470000000001</v>
      </c>
      <c r="L320" s="52">
        <v>376.08229999999998</v>
      </c>
      <c r="M320" s="52">
        <v>376.08229999999998</v>
      </c>
      <c r="N320" s="5" t="s">
        <v>69</v>
      </c>
    </row>
    <row r="321" spans="1:14" x14ac:dyDescent="0.25">
      <c r="A321" s="50">
        <v>1.1100000000000001</v>
      </c>
      <c r="B321" s="52">
        <v>6006.1334999999999</v>
      </c>
      <c r="C321" s="52">
        <v>0</v>
      </c>
      <c r="D321" s="52">
        <v>703.05740000000003</v>
      </c>
      <c r="E321" s="52">
        <v>703.05740000000003</v>
      </c>
      <c r="F321" s="52">
        <v>0</v>
      </c>
      <c r="G321" s="52">
        <v>937.40989999999999</v>
      </c>
      <c r="H321" s="52">
        <v>468.70490000000001</v>
      </c>
      <c r="I321" s="52">
        <v>937.40989999999999</v>
      </c>
      <c r="J321" s="52">
        <v>376.08229999999998</v>
      </c>
      <c r="K321" s="52">
        <v>1128.2470000000001</v>
      </c>
      <c r="L321" s="52">
        <v>376.08229999999998</v>
      </c>
      <c r="M321" s="52">
        <v>376.08229999999998</v>
      </c>
      <c r="N321" s="5" t="s">
        <v>69</v>
      </c>
    </row>
    <row r="322" spans="1:14" x14ac:dyDescent="0.25">
      <c r="A322" s="50">
        <v>1.111</v>
      </c>
      <c r="B322" s="52">
        <v>6009.5114999999996</v>
      </c>
      <c r="C322" s="52">
        <v>0</v>
      </c>
      <c r="D322" s="52">
        <v>703.69079999999997</v>
      </c>
      <c r="E322" s="52">
        <v>703.69079999999997</v>
      </c>
      <c r="F322" s="52">
        <v>0</v>
      </c>
      <c r="G322" s="52">
        <v>938.25440000000003</v>
      </c>
      <c r="H322" s="52">
        <v>469.12720000000002</v>
      </c>
      <c r="I322" s="52">
        <v>938.25440000000003</v>
      </c>
      <c r="J322" s="52">
        <v>376.08229999999998</v>
      </c>
      <c r="K322" s="52">
        <v>1128.2470000000001</v>
      </c>
      <c r="L322" s="52">
        <v>376.08229999999998</v>
      </c>
      <c r="M322" s="52">
        <v>376.08229999999998</v>
      </c>
      <c r="N322" s="5" t="s">
        <v>69</v>
      </c>
    </row>
    <row r="323" spans="1:14" x14ac:dyDescent="0.25">
      <c r="A323" s="50">
        <v>1.1120000000000001</v>
      </c>
      <c r="B323" s="52">
        <v>6012.8896000000004</v>
      </c>
      <c r="C323" s="52">
        <v>0</v>
      </c>
      <c r="D323" s="52">
        <v>704.32420000000002</v>
      </c>
      <c r="E323" s="52">
        <v>704.32420000000002</v>
      </c>
      <c r="F323" s="52">
        <v>0</v>
      </c>
      <c r="G323" s="52">
        <v>939.09889999999996</v>
      </c>
      <c r="H323" s="52">
        <v>469.54939999999999</v>
      </c>
      <c r="I323" s="52">
        <v>939.09889999999996</v>
      </c>
      <c r="J323" s="52">
        <v>376.08229999999998</v>
      </c>
      <c r="K323" s="52">
        <v>1128.2470000000001</v>
      </c>
      <c r="L323" s="52">
        <v>376.08229999999998</v>
      </c>
      <c r="M323" s="52">
        <v>376.08229999999998</v>
      </c>
      <c r="N323" s="5" t="s">
        <v>69</v>
      </c>
    </row>
    <row r="324" spans="1:14" x14ac:dyDescent="0.25">
      <c r="A324" s="50">
        <v>1.113</v>
      </c>
      <c r="B324" s="52">
        <v>6016.2676000000001</v>
      </c>
      <c r="C324" s="52">
        <v>0</v>
      </c>
      <c r="D324" s="52">
        <v>704.95759999999996</v>
      </c>
      <c r="E324" s="52">
        <v>704.95759999999996</v>
      </c>
      <c r="F324" s="52">
        <v>0</v>
      </c>
      <c r="G324" s="52">
        <v>939.9434</v>
      </c>
      <c r="H324" s="52">
        <v>469.9717</v>
      </c>
      <c r="I324" s="52">
        <v>939.9434</v>
      </c>
      <c r="J324" s="52">
        <v>376.08229999999998</v>
      </c>
      <c r="K324" s="52">
        <v>1128.2470000000001</v>
      </c>
      <c r="L324" s="52">
        <v>376.08229999999998</v>
      </c>
      <c r="M324" s="52">
        <v>376.08229999999998</v>
      </c>
      <c r="N324" s="5" t="s">
        <v>69</v>
      </c>
    </row>
    <row r="325" spans="1:14" x14ac:dyDescent="0.25">
      <c r="A325" s="50">
        <v>1.1140000000000001</v>
      </c>
      <c r="B325" s="52">
        <v>6019.6457</v>
      </c>
      <c r="C325" s="52">
        <v>0</v>
      </c>
      <c r="D325" s="52">
        <v>705.59090000000003</v>
      </c>
      <c r="E325" s="52">
        <v>705.59090000000003</v>
      </c>
      <c r="F325" s="52">
        <v>0</v>
      </c>
      <c r="G325" s="52">
        <v>940.78790000000004</v>
      </c>
      <c r="H325" s="52">
        <v>470.39400000000001</v>
      </c>
      <c r="I325" s="52">
        <v>940.78790000000004</v>
      </c>
      <c r="J325" s="52">
        <v>376.08229999999998</v>
      </c>
      <c r="K325" s="52">
        <v>1128.2470000000001</v>
      </c>
      <c r="L325" s="52">
        <v>376.08229999999998</v>
      </c>
      <c r="M325" s="52">
        <v>376.08229999999998</v>
      </c>
      <c r="N325" s="5" t="s">
        <v>69</v>
      </c>
    </row>
    <row r="326" spans="1:14" x14ac:dyDescent="0.25">
      <c r="A326" s="50">
        <v>1.115</v>
      </c>
      <c r="B326" s="52">
        <v>6023.0236999999997</v>
      </c>
      <c r="C326" s="52">
        <v>0</v>
      </c>
      <c r="D326" s="52">
        <v>706.22429999999997</v>
      </c>
      <c r="E326" s="52">
        <v>706.22429999999997</v>
      </c>
      <c r="F326" s="52">
        <v>0</v>
      </c>
      <c r="G326" s="52">
        <v>941.63239999999996</v>
      </c>
      <c r="H326" s="52">
        <v>470.81619999999998</v>
      </c>
      <c r="I326" s="52">
        <v>941.63239999999996</v>
      </c>
      <c r="J326" s="52">
        <v>376.08229999999998</v>
      </c>
      <c r="K326" s="52">
        <v>1128.2470000000001</v>
      </c>
      <c r="L326" s="52">
        <v>376.08229999999998</v>
      </c>
      <c r="M326" s="52">
        <v>376.08229999999998</v>
      </c>
      <c r="N326" s="5" t="s">
        <v>69</v>
      </c>
    </row>
    <row r="327" spans="1:14" x14ac:dyDescent="0.25">
      <c r="A327" s="50">
        <v>1.1160000000000001</v>
      </c>
      <c r="B327" s="52">
        <v>6026.4017999999996</v>
      </c>
      <c r="C327" s="52">
        <v>0</v>
      </c>
      <c r="D327" s="52">
        <v>706.85770000000002</v>
      </c>
      <c r="E327" s="52">
        <v>706.85770000000002</v>
      </c>
      <c r="F327" s="52">
        <v>0</v>
      </c>
      <c r="G327" s="52">
        <v>942.4769</v>
      </c>
      <c r="H327" s="52">
        <v>471.23849999999999</v>
      </c>
      <c r="I327" s="52">
        <v>942.4769</v>
      </c>
      <c r="J327" s="52">
        <v>376.08229999999998</v>
      </c>
      <c r="K327" s="52">
        <v>1128.2470000000001</v>
      </c>
      <c r="L327" s="52">
        <v>376.08229999999998</v>
      </c>
      <c r="M327" s="52">
        <v>376.08229999999998</v>
      </c>
      <c r="N327" s="5" t="s">
        <v>69</v>
      </c>
    </row>
    <row r="328" spans="1:14" x14ac:dyDescent="0.25">
      <c r="A328" s="50">
        <v>1.117</v>
      </c>
      <c r="B328" s="52">
        <v>6029.7798000000003</v>
      </c>
      <c r="C328" s="52">
        <v>0</v>
      </c>
      <c r="D328" s="52">
        <v>707.49109999999996</v>
      </c>
      <c r="E328" s="52">
        <v>707.49109999999996</v>
      </c>
      <c r="F328" s="52">
        <v>0</v>
      </c>
      <c r="G328" s="52">
        <v>943.32150000000001</v>
      </c>
      <c r="H328" s="52">
        <v>471.66070000000002</v>
      </c>
      <c r="I328" s="52">
        <v>943.32150000000001</v>
      </c>
      <c r="J328" s="52">
        <v>376.08229999999998</v>
      </c>
      <c r="K328" s="52">
        <v>1128.2470000000001</v>
      </c>
      <c r="L328" s="52">
        <v>376.08229999999998</v>
      </c>
      <c r="M328" s="52">
        <v>376.08229999999998</v>
      </c>
      <c r="N328" s="5" t="s">
        <v>69</v>
      </c>
    </row>
    <row r="329" spans="1:14" x14ac:dyDescent="0.25">
      <c r="A329" s="50">
        <v>1.1180000000000001</v>
      </c>
      <c r="B329" s="52">
        <v>6033.1579000000002</v>
      </c>
      <c r="C329" s="52">
        <v>0</v>
      </c>
      <c r="D329" s="52">
        <v>708.12450000000001</v>
      </c>
      <c r="E329" s="52">
        <v>708.12450000000001</v>
      </c>
      <c r="F329" s="52">
        <v>0</v>
      </c>
      <c r="G329" s="52">
        <v>944.16600000000005</v>
      </c>
      <c r="H329" s="52">
        <v>472.08300000000003</v>
      </c>
      <c r="I329" s="52">
        <v>944.16600000000005</v>
      </c>
      <c r="J329" s="52">
        <v>376.08229999999998</v>
      </c>
      <c r="K329" s="52">
        <v>1128.2470000000001</v>
      </c>
      <c r="L329" s="52">
        <v>376.08229999999998</v>
      </c>
      <c r="M329" s="52">
        <v>376.08229999999998</v>
      </c>
      <c r="N329" s="5" t="s">
        <v>69</v>
      </c>
    </row>
    <row r="330" spans="1:14" x14ac:dyDescent="0.25">
      <c r="A330" s="50">
        <v>1.119</v>
      </c>
      <c r="B330" s="52">
        <v>6036.5358999999999</v>
      </c>
      <c r="C330" s="52">
        <v>0</v>
      </c>
      <c r="D330" s="52">
        <v>708.75789999999995</v>
      </c>
      <c r="E330" s="52">
        <v>708.75789999999995</v>
      </c>
      <c r="F330" s="52">
        <v>0</v>
      </c>
      <c r="G330" s="52">
        <v>945.01049999999998</v>
      </c>
      <c r="H330" s="52">
        <v>472.5052</v>
      </c>
      <c r="I330" s="52">
        <v>945.01049999999998</v>
      </c>
      <c r="J330" s="52">
        <v>376.08229999999998</v>
      </c>
      <c r="K330" s="52">
        <v>1128.2470000000001</v>
      </c>
      <c r="L330" s="52">
        <v>376.08229999999998</v>
      </c>
      <c r="M330" s="52">
        <v>376.08229999999998</v>
      </c>
      <c r="N330" s="5" t="s">
        <v>69</v>
      </c>
    </row>
    <row r="331" spans="1:14" x14ac:dyDescent="0.25">
      <c r="A331" s="50">
        <v>1.1200000000000001</v>
      </c>
      <c r="B331" s="52">
        <v>6039.9139999999998</v>
      </c>
      <c r="C331" s="52">
        <v>0</v>
      </c>
      <c r="D331" s="52">
        <v>709.3913</v>
      </c>
      <c r="E331" s="52">
        <v>709.3913</v>
      </c>
      <c r="F331" s="52">
        <v>0</v>
      </c>
      <c r="G331" s="52">
        <v>945.85500000000002</v>
      </c>
      <c r="H331" s="52">
        <v>472.92750000000001</v>
      </c>
      <c r="I331" s="52">
        <v>945.85500000000002</v>
      </c>
      <c r="J331" s="52">
        <v>376.08229999999998</v>
      </c>
      <c r="K331" s="52">
        <v>1128.2470000000001</v>
      </c>
      <c r="L331" s="52">
        <v>376.08229999999998</v>
      </c>
      <c r="M331" s="52">
        <v>376.08229999999998</v>
      </c>
      <c r="N331" s="5" t="s">
        <v>69</v>
      </c>
    </row>
    <row r="332" spans="1:14" x14ac:dyDescent="0.25">
      <c r="A332" s="50">
        <v>1.121</v>
      </c>
      <c r="B332" s="52">
        <v>6043.2920999999997</v>
      </c>
      <c r="C332" s="52">
        <v>0</v>
      </c>
      <c r="D332" s="52">
        <v>710.02459999999996</v>
      </c>
      <c r="E332" s="52">
        <v>710.02459999999996</v>
      </c>
      <c r="F332" s="52">
        <v>0</v>
      </c>
      <c r="G332" s="52">
        <v>946.69949999999994</v>
      </c>
      <c r="H332" s="52">
        <v>473.34980000000002</v>
      </c>
      <c r="I332" s="52">
        <v>946.69949999999994</v>
      </c>
      <c r="J332" s="52">
        <v>376.08229999999998</v>
      </c>
      <c r="K332" s="52">
        <v>1128.2470000000001</v>
      </c>
      <c r="L332" s="52">
        <v>376.08229999999998</v>
      </c>
      <c r="M332" s="52">
        <v>376.08229999999998</v>
      </c>
      <c r="N332" s="5" t="s">
        <v>69</v>
      </c>
    </row>
    <row r="333" spans="1:14" x14ac:dyDescent="0.25">
      <c r="A333" s="50">
        <v>1.1220000000000001</v>
      </c>
      <c r="B333" s="52">
        <v>6046.6701000000003</v>
      </c>
      <c r="C333" s="52">
        <v>0</v>
      </c>
      <c r="D333" s="52">
        <v>710.65800000000002</v>
      </c>
      <c r="E333" s="52">
        <v>710.65800000000002</v>
      </c>
      <c r="F333" s="52">
        <v>0</v>
      </c>
      <c r="G333" s="52">
        <v>947.54399999999998</v>
      </c>
      <c r="H333" s="52">
        <v>473.77199999999999</v>
      </c>
      <c r="I333" s="52">
        <v>947.54399999999998</v>
      </c>
      <c r="J333" s="52">
        <v>376.08229999999998</v>
      </c>
      <c r="K333" s="52">
        <v>1128.2470000000001</v>
      </c>
      <c r="L333" s="52">
        <v>376.08229999999998</v>
      </c>
      <c r="M333" s="52">
        <v>376.08229999999998</v>
      </c>
      <c r="N333" s="5" t="s">
        <v>69</v>
      </c>
    </row>
    <row r="334" spans="1:14" x14ac:dyDescent="0.25">
      <c r="A334" s="50">
        <v>1.123</v>
      </c>
      <c r="B334" s="52">
        <v>6050.0482000000002</v>
      </c>
      <c r="C334" s="52">
        <v>0</v>
      </c>
      <c r="D334" s="52">
        <v>711.29139999999995</v>
      </c>
      <c r="E334" s="52">
        <v>711.29139999999995</v>
      </c>
      <c r="F334" s="52">
        <v>0</v>
      </c>
      <c r="G334" s="52">
        <v>948.38850000000002</v>
      </c>
      <c r="H334" s="52">
        <v>474.1943</v>
      </c>
      <c r="I334" s="52">
        <v>948.38850000000002</v>
      </c>
      <c r="J334" s="52">
        <v>376.08229999999998</v>
      </c>
      <c r="K334" s="52">
        <v>1128.2470000000001</v>
      </c>
      <c r="L334" s="52">
        <v>376.08229999999998</v>
      </c>
      <c r="M334" s="52">
        <v>376.08229999999998</v>
      </c>
      <c r="N334" s="5" t="s">
        <v>69</v>
      </c>
    </row>
    <row r="335" spans="1:14" x14ac:dyDescent="0.25">
      <c r="A335" s="50">
        <v>1.1240000000000001</v>
      </c>
      <c r="B335" s="52">
        <v>6053.4261999999999</v>
      </c>
      <c r="C335" s="52">
        <v>0</v>
      </c>
      <c r="D335" s="52">
        <v>711.9248</v>
      </c>
      <c r="E335" s="52">
        <v>711.9248</v>
      </c>
      <c r="F335" s="52">
        <v>0</v>
      </c>
      <c r="G335" s="52">
        <v>949.23310000000004</v>
      </c>
      <c r="H335" s="52">
        <v>474.61649999999997</v>
      </c>
      <c r="I335" s="52">
        <v>949.23310000000004</v>
      </c>
      <c r="J335" s="52">
        <v>376.08229999999998</v>
      </c>
      <c r="K335" s="52">
        <v>1128.2470000000001</v>
      </c>
      <c r="L335" s="52">
        <v>376.08229999999998</v>
      </c>
      <c r="M335" s="52">
        <v>376.08229999999998</v>
      </c>
      <c r="N335" s="5" t="s">
        <v>69</v>
      </c>
    </row>
    <row r="336" spans="1:14" x14ac:dyDescent="0.25">
      <c r="A336" s="50">
        <v>1.125</v>
      </c>
      <c r="B336" s="52">
        <v>6056.8042999999998</v>
      </c>
      <c r="C336" s="52">
        <v>0</v>
      </c>
      <c r="D336" s="52">
        <v>712.55820000000006</v>
      </c>
      <c r="E336" s="52">
        <v>712.55820000000006</v>
      </c>
      <c r="F336" s="52">
        <v>0</v>
      </c>
      <c r="G336" s="52">
        <v>950.07759999999996</v>
      </c>
      <c r="H336" s="52">
        <v>475.03879999999998</v>
      </c>
      <c r="I336" s="52">
        <v>950.07759999999996</v>
      </c>
      <c r="J336" s="52">
        <v>376.08229999999998</v>
      </c>
      <c r="K336" s="52">
        <v>1128.2470000000001</v>
      </c>
      <c r="L336" s="52">
        <v>376.08229999999998</v>
      </c>
      <c r="M336" s="52">
        <v>376.08229999999998</v>
      </c>
      <c r="N336" s="5" t="s">
        <v>69</v>
      </c>
    </row>
    <row r="337" spans="1:14" x14ac:dyDescent="0.25">
      <c r="A337" s="50">
        <v>1.1259999999999999</v>
      </c>
      <c r="B337" s="52">
        <v>6060.1823000000004</v>
      </c>
      <c r="C337" s="52">
        <v>0</v>
      </c>
      <c r="D337" s="52">
        <v>713.19159999999999</v>
      </c>
      <c r="E337" s="52">
        <v>713.19159999999999</v>
      </c>
      <c r="F337" s="52">
        <v>0</v>
      </c>
      <c r="G337" s="52">
        <v>950.9221</v>
      </c>
      <c r="H337" s="52">
        <v>475.46100000000001</v>
      </c>
      <c r="I337" s="52">
        <v>950.9221</v>
      </c>
      <c r="J337" s="52">
        <v>376.08229999999998</v>
      </c>
      <c r="K337" s="52">
        <v>1128.2470000000001</v>
      </c>
      <c r="L337" s="52">
        <v>376.08229999999998</v>
      </c>
      <c r="M337" s="52">
        <v>376.08229999999998</v>
      </c>
      <c r="N337" s="5" t="s">
        <v>69</v>
      </c>
    </row>
    <row r="338" spans="1:14" x14ac:dyDescent="0.25">
      <c r="A338" s="50">
        <v>1.127</v>
      </c>
      <c r="B338" s="52">
        <v>6063.5604000000003</v>
      </c>
      <c r="C338" s="52">
        <v>0</v>
      </c>
      <c r="D338" s="52">
        <v>713.82489999999996</v>
      </c>
      <c r="E338" s="52">
        <v>713.82489999999996</v>
      </c>
      <c r="F338" s="52">
        <v>0</v>
      </c>
      <c r="G338" s="52">
        <v>951.76660000000004</v>
      </c>
      <c r="H338" s="52">
        <v>475.88330000000002</v>
      </c>
      <c r="I338" s="52">
        <v>951.76660000000004</v>
      </c>
      <c r="J338" s="52">
        <v>376.08229999999998</v>
      </c>
      <c r="K338" s="52">
        <v>1128.2470000000001</v>
      </c>
      <c r="L338" s="52">
        <v>376.08229999999998</v>
      </c>
      <c r="M338" s="52">
        <v>376.08229999999998</v>
      </c>
      <c r="N338" s="5" t="s">
        <v>69</v>
      </c>
    </row>
    <row r="339" spans="1:14" x14ac:dyDescent="0.25">
      <c r="A339" s="50">
        <v>1.1279999999999999</v>
      </c>
      <c r="B339" s="52">
        <v>6066.9384</v>
      </c>
      <c r="C339" s="52">
        <v>0</v>
      </c>
      <c r="D339" s="52">
        <v>714.45830000000001</v>
      </c>
      <c r="E339" s="52">
        <v>714.45830000000001</v>
      </c>
      <c r="F339" s="52">
        <v>0</v>
      </c>
      <c r="G339" s="52">
        <v>952.61109999999996</v>
      </c>
      <c r="H339" s="52">
        <v>476.30560000000003</v>
      </c>
      <c r="I339" s="52">
        <v>952.61109999999996</v>
      </c>
      <c r="J339" s="52">
        <v>376.08229999999998</v>
      </c>
      <c r="K339" s="52">
        <v>1128.2470000000001</v>
      </c>
      <c r="L339" s="52">
        <v>376.08229999999998</v>
      </c>
      <c r="M339" s="52">
        <v>376.08229999999998</v>
      </c>
      <c r="N339" s="5" t="s">
        <v>69</v>
      </c>
    </row>
    <row r="340" spans="1:14" x14ac:dyDescent="0.25">
      <c r="A340" s="50">
        <v>1.129</v>
      </c>
      <c r="B340" s="52">
        <v>6070.3164999999999</v>
      </c>
      <c r="C340" s="52">
        <v>0</v>
      </c>
      <c r="D340" s="52">
        <v>715.09169999999995</v>
      </c>
      <c r="E340" s="52">
        <v>715.09169999999995</v>
      </c>
      <c r="F340" s="52">
        <v>0</v>
      </c>
      <c r="G340" s="52">
        <v>953.4556</v>
      </c>
      <c r="H340" s="52">
        <v>476.7278</v>
      </c>
      <c r="I340" s="52">
        <v>953.4556</v>
      </c>
      <c r="J340" s="52">
        <v>376.08229999999998</v>
      </c>
      <c r="K340" s="52">
        <v>1128.2470000000001</v>
      </c>
      <c r="L340" s="52">
        <v>376.08229999999998</v>
      </c>
      <c r="M340" s="52">
        <v>376.08229999999998</v>
      </c>
      <c r="N340" s="5" t="s">
        <v>69</v>
      </c>
    </row>
    <row r="341" spans="1:14" x14ac:dyDescent="0.25">
      <c r="A341" s="50">
        <v>1.1299999999999999</v>
      </c>
      <c r="B341" s="52">
        <v>6073.6944999999996</v>
      </c>
      <c r="C341" s="52">
        <v>0</v>
      </c>
      <c r="D341" s="52">
        <v>715.7251</v>
      </c>
      <c r="E341" s="52">
        <v>715.7251</v>
      </c>
      <c r="F341" s="52">
        <v>0</v>
      </c>
      <c r="G341" s="52">
        <v>954.30010000000004</v>
      </c>
      <c r="H341" s="52">
        <v>477.15010000000001</v>
      </c>
      <c r="I341" s="52">
        <v>954.30010000000004</v>
      </c>
      <c r="J341" s="52">
        <v>376.08229999999998</v>
      </c>
      <c r="K341" s="52">
        <v>1128.2470000000001</v>
      </c>
      <c r="L341" s="52">
        <v>376.08229999999998</v>
      </c>
      <c r="M341" s="52">
        <v>376.08229999999998</v>
      </c>
      <c r="N341" s="5" t="s">
        <v>69</v>
      </c>
    </row>
    <row r="342" spans="1:14" x14ac:dyDescent="0.25">
      <c r="A342" s="50">
        <v>1.131</v>
      </c>
      <c r="B342" s="52">
        <v>6077.0726000000004</v>
      </c>
      <c r="C342" s="52">
        <v>0</v>
      </c>
      <c r="D342" s="52">
        <v>716.35850000000005</v>
      </c>
      <c r="E342" s="52">
        <v>716.35850000000005</v>
      </c>
      <c r="F342" s="52">
        <v>0</v>
      </c>
      <c r="G342" s="52">
        <v>955.14459999999997</v>
      </c>
      <c r="H342" s="52">
        <v>477.57229999999998</v>
      </c>
      <c r="I342" s="52">
        <v>955.14459999999997</v>
      </c>
      <c r="J342" s="52">
        <v>376.08229999999998</v>
      </c>
      <c r="K342" s="52">
        <v>1128.2470000000001</v>
      </c>
      <c r="L342" s="52">
        <v>376.08229999999998</v>
      </c>
      <c r="M342" s="52">
        <v>376.08229999999998</v>
      </c>
      <c r="N342" s="5" t="s">
        <v>69</v>
      </c>
    </row>
    <row r="343" spans="1:14" x14ac:dyDescent="0.25">
      <c r="A343" s="50">
        <v>1.1319999999999999</v>
      </c>
      <c r="B343" s="52">
        <v>6080.4506000000001</v>
      </c>
      <c r="C343" s="52">
        <v>0</v>
      </c>
      <c r="D343" s="52">
        <v>716.99189999999999</v>
      </c>
      <c r="E343" s="52">
        <v>716.99189999999999</v>
      </c>
      <c r="F343" s="52">
        <v>0</v>
      </c>
      <c r="G343" s="52">
        <v>955.98919999999998</v>
      </c>
      <c r="H343" s="52">
        <v>477.99459999999999</v>
      </c>
      <c r="I343" s="52">
        <v>955.98919999999998</v>
      </c>
      <c r="J343" s="52">
        <v>376.08229999999998</v>
      </c>
      <c r="K343" s="52">
        <v>1128.2470000000001</v>
      </c>
      <c r="L343" s="52">
        <v>376.08229999999998</v>
      </c>
      <c r="M343" s="52">
        <v>376.08229999999998</v>
      </c>
      <c r="N343" s="5" t="s">
        <v>69</v>
      </c>
    </row>
    <row r="344" spans="1:14" x14ac:dyDescent="0.25">
      <c r="A344" s="50">
        <v>1.133</v>
      </c>
      <c r="B344" s="52">
        <v>6083.8287</v>
      </c>
      <c r="C344" s="52">
        <v>0</v>
      </c>
      <c r="D344" s="52">
        <v>717.62530000000004</v>
      </c>
      <c r="E344" s="52">
        <v>717.62530000000004</v>
      </c>
      <c r="F344" s="52">
        <v>0</v>
      </c>
      <c r="G344" s="52">
        <v>956.83370000000002</v>
      </c>
      <c r="H344" s="52">
        <v>478.41680000000002</v>
      </c>
      <c r="I344" s="52">
        <v>956.83370000000002</v>
      </c>
      <c r="J344" s="52">
        <v>376.08229999999998</v>
      </c>
      <c r="K344" s="52">
        <v>1128.2470000000001</v>
      </c>
      <c r="L344" s="52">
        <v>376.08229999999998</v>
      </c>
      <c r="M344" s="52">
        <v>376.08229999999998</v>
      </c>
      <c r="N344" s="5" t="s">
        <v>69</v>
      </c>
    </row>
    <row r="345" spans="1:14" x14ac:dyDescent="0.25">
      <c r="A345" s="50">
        <v>1.1339999999999999</v>
      </c>
      <c r="B345" s="52">
        <v>6087.2066999999997</v>
      </c>
      <c r="C345" s="52">
        <v>0</v>
      </c>
      <c r="D345" s="52">
        <v>718.2586</v>
      </c>
      <c r="E345" s="52">
        <v>718.2586</v>
      </c>
      <c r="F345" s="52">
        <v>0</v>
      </c>
      <c r="G345" s="52">
        <v>957.67819999999995</v>
      </c>
      <c r="H345" s="52">
        <v>478.83909999999997</v>
      </c>
      <c r="I345" s="52">
        <v>957.67819999999995</v>
      </c>
      <c r="J345" s="52">
        <v>376.08229999999998</v>
      </c>
      <c r="K345" s="52">
        <v>1128.2470000000001</v>
      </c>
      <c r="L345" s="52">
        <v>376.08229999999998</v>
      </c>
      <c r="M345" s="52">
        <v>376.08229999999998</v>
      </c>
      <c r="N345" s="5" t="s">
        <v>69</v>
      </c>
    </row>
    <row r="346" spans="1:14" x14ac:dyDescent="0.25">
      <c r="A346" s="50">
        <v>1.135</v>
      </c>
      <c r="B346" s="52">
        <v>6090.5847999999996</v>
      </c>
      <c r="C346" s="52">
        <v>0</v>
      </c>
      <c r="D346" s="52">
        <v>718.89200000000005</v>
      </c>
      <c r="E346" s="52">
        <v>718.89200000000005</v>
      </c>
      <c r="F346" s="52">
        <v>0</v>
      </c>
      <c r="G346" s="52">
        <v>958.52269999999999</v>
      </c>
      <c r="H346" s="52">
        <v>479.26139999999998</v>
      </c>
      <c r="I346" s="52">
        <v>958.52269999999999</v>
      </c>
      <c r="J346" s="52">
        <v>376.08229999999998</v>
      </c>
      <c r="K346" s="52">
        <v>1128.2470000000001</v>
      </c>
      <c r="L346" s="52">
        <v>376.08229999999998</v>
      </c>
      <c r="M346" s="52">
        <v>376.08229999999998</v>
      </c>
      <c r="N346" s="5" t="s">
        <v>69</v>
      </c>
    </row>
    <row r="347" spans="1:14" x14ac:dyDescent="0.25">
      <c r="A347" s="50">
        <v>1.1359999999999999</v>
      </c>
      <c r="B347" s="52">
        <v>6093.9629000000004</v>
      </c>
      <c r="C347" s="52">
        <v>0</v>
      </c>
      <c r="D347" s="52">
        <v>719.52539999999999</v>
      </c>
      <c r="E347" s="52">
        <v>719.52539999999999</v>
      </c>
      <c r="F347" s="52">
        <v>0</v>
      </c>
      <c r="G347" s="52">
        <v>959.36720000000003</v>
      </c>
      <c r="H347" s="52">
        <v>479.68360000000001</v>
      </c>
      <c r="I347" s="52">
        <v>959.36720000000003</v>
      </c>
      <c r="J347" s="52">
        <v>376.08229999999998</v>
      </c>
      <c r="K347" s="52">
        <v>1128.2470000000001</v>
      </c>
      <c r="L347" s="52">
        <v>376.08229999999998</v>
      </c>
      <c r="M347" s="52">
        <v>376.08229999999998</v>
      </c>
      <c r="N347" s="5" t="s">
        <v>69</v>
      </c>
    </row>
    <row r="348" spans="1:14" x14ac:dyDescent="0.25">
      <c r="A348" s="50">
        <v>1.137</v>
      </c>
      <c r="B348" s="52">
        <v>6097.3409000000001</v>
      </c>
      <c r="C348" s="52">
        <v>0</v>
      </c>
      <c r="D348" s="52">
        <v>720.15880000000004</v>
      </c>
      <c r="E348" s="52">
        <v>720.15880000000004</v>
      </c>
      <c r="F348" s="52">
        <v>0</v>
      </c>
      <c r="G348" s="52">
        <v>960.21169999999995</v>
      </c>
      <c r="H348" s="52">
        <v>480.10590000000002</v>
      </c>
      <c r="I348" s="52">
        <v>960.21169999999995</v>
      </c>
      <c r="J348" s="52">
        <v>376.08229999999998</v>
      </c>
      <c r="K348" s="52">
        <v>1128.2470000000001</v>
      </c>
      <c r="L348" s="52">
        <v>376.08229999999998</v>
      </c>
      <c r="M348" s="52">
        <v>376.08229999999998</v>
      </c>
      <c r="N348" s="5" t="s">
        <v>69</v>
      </c>
    </row>
    <row r="349" spans="1:14" x14ac:dyDescent="0.25">
      <c r="A349" s="50">
        <v>1.1379999999999999</v>
      </c>
      <c r="B349" s="52">
        <v>6100.7190000000001</v>
      </c>
      <c r="C349" s="52">
        <v>0</v>
      </c>
      <c r="D349" s="52">
        <v>720.79219999999998</v>
      </c>
      <c r="E349" s="52">
        <v>720.79219999999998</v>
      </c>
      <c r="F349" s="52">
        <v>0</v>
      </c>
      <c r="G349" s="52">
        <v>961.05619999999999</v>
      </c>
      <c r="H349" s="52">
        <v>480.52809999999999</v>
      </c>
      <c r="I349" s="52">
        <v>961.05619999999999</v>
      </c>
      <c r="J349" s="52">
        <v>376.08229999999998</v>
      </c>
      <c r="K349" s="52">
        <v>1128.2470000000001</v>
      </c>
      <c r="L349" s="52">
        <v>376.08229999999998</v>
      </c>
      <c r="M349" s="52">
        <v>376.08229999999998</v>
      </c>
      <c r="N349" s="5" t="s">
        <v>69</v>
      </c>
    </row>
    <row r="350" spans="1:14" x14ac:dyDescent="0.25">
      <c r="A350" s="50">
        <v>1.139</v>
      </c>
      <c r="B350" s="52">
        <v>6104.0969999999998</v>
      </c>
      <c r="C350" s="52">
        <v>0</v>
      </c>
      <c r="D350" s="52">
        <v>721.42560000000003</v>
      </c>
      <c r="E350" s="52">
        <v>721.42560000000003</v>
      </c>
      <c r="F350" s="52">
        <v>0</v>
      </c>
      <c r="G350" s="52">
        <v>961.9008</v>
      </c>
      <c r="H350" s="52">
        <v>480.9504</v>
      </c>
      <c r="I350" s="52">
        <v>961.9008</v>
      </c>
      <c r="J350" s="52">
        <v>376.08229999999998</v>
      </c>
      <c r="K350" s="52">
        <v>1128.2470000000001</v>
      </c>
      <c r="L350" s="52">
        <v>376.08229999999998</v>
      </c>
      <c r="M350" s="52">
        <v>376.08229999999998</v>
      </c>
      <c r="N350" s="5" t="s">
        <v>69</v>
      </c>
    </row>
    <row r="351" spans="1:14" x14ac:dyDescent="0.25">
      <c r="A351" s="50">
        <v>1.1399999999999999</v>
      </c>
      <c r="B351" s="52">
        <v>6107.4750999999997</v>
      </c>
      <c r="C351" s="52">
        <v>0</v>
      </c>
      <c r="D351" s="52">
        <v>722.05899999999997</v>
      </c>
      <c r="E351" s="52">
        <v>722.05899999999997</v>
      </c>
      <c r="F351" s="52">
        <v>0</v>
      </c>
      <c r="G351" s="52">
        <v>962.74530000000004</v>
      </c>
      <c r="H351" s="52">
        <v>481.37259999999998</v>
      </c>
      <c r="I351" s="52">
        <v>962.74530000000004</v>
      </c>
      <c r="J351" s="52">
        <v>376.08229999999998</v>
      </c>
      <c r="K351" s="52">
        <v>1128.2470000000001</v>
      </c>
      <c r="L351" s="52">
        <v>376.08229999999998</v>
      </c>
      <c r="M351" s="52">
        <v>376.08229999999998</v>
      </c>
      <c r="N351" s="5" t="s">
        <v>69</v>
      </c>
    </row>
    <row r="352" spans="1:14" x14ac:dyDescent="0.25">
      <c r="A352" s="50">
        <v>1.141</v>
      </c>
      <c r="B352" s="52">
        <v>6110.8531000000003</v>
      </c>
      <c r="C352" s="52">
        <v>0</v>
      </c>
      <c r="D352" s="52">
        <v>722.69230000000005</v>
      </c>
      <c r="E352" s="52">
        <v>722.69230000000005</v>
      </c>
      <c r="F352" s="52">
        <v>0</v>
      </c>
      <c r="G352" s="52">
        <v>963.58979999999997</v>
      </c>
      <c r="H352" s="52">
        <v>481.79489999999998</v>
      </c>
      <c r="I352" s="52">
        <v>963.58979999999997</v>
      </c>
      <c r="J352" s="52">
        <v>376.08229999999998</v>
      </c>
      <c r="K352" s="52">
        <v>1128.2470000000001</v>
      </c>
      <c r="L352" s="52">
        <v>376.08229999999998</v>
      </c>
      <c r="M352" s="52">
        <v>376.08229999999998</v>
      </c>
      <c r="N352" s="5" t="s">
        <v>69</v>
      </c>
    </row>
    <row r="353" spans="1:14" x14ac:dyDescent="0.25">
      <c r="A353" s="50">
        <v>1.1419999999999999</v>
      </c>
      <c r="B353" s="52">
        <v>6114.2312000000002</v>
      </c>
      <c r="C353" s="52">
        <v>0</v>
      </c>
      <c r="D353" s="52">
        <v>723.32569999999998</v>
      </c>
      <c r="E353" s="52">
        <v>723.32569999999998</v>
      </c>
      <c r="F353" s="52">
        <v>0</v>
      </c>
      <c r="G353" s="52">
        <v>964.43430000000001</v>
      </c>
      <c r="H353" s="52">
        <v>482.21710000000002</v>
      </c>
      <c r="I353" s="52">
        <v>964.43430000000001</v>
      </c>
      <c r="J353" s="52">
        <v>376.08229999999998</v>
      </c>
      <c r="K353" s="52">
        <v>1128.2470000000001</v>
      </c>
      <c r="L353" s="52">
        <v>376.08229999999998</v>
      </c>
      <c r="M353" s="52">
        <v>376.08229999999998</v>
      </c>
      <c r="N353" s="5" t="s">
        <v>69</v>
      </c>
    </row>
    <row r="354" spans="1:14" x14ac:dyDescent="0.25">
      <c r="A354" s="50">
        <v>1.143</v>
      </c>
      <c r="B354" s="52">
        <v>6117.6091999999999</v>
      </c>
      <c r="C354" s="52">
        <v>0</v>
      </c>
      <c r="D354" s="52">
        <v>723.95910000000003</v>
      </c>
      <c r="E354" s="52">
        <v>723.95910000000003</v>
      </c>
      <c r="F354" s="52">
        <v>0</v>
      </c>
      <c r="G354" s="52">
        <v>965.27880000000005</v>
      </c>
      <c r="H354" s="52">
        <v>482.63940000000002</v>
      </c>
      <c r="I354" s="52">
        <v>965.27880000000005</v>
      </c>
      <c r="J354" s="52">
        <v>376.08229999999998</v>
      </c>
      <c r="K354" s="52">
        <v>1128.2470000000001</v>
      </c>
      <c r="L354" s="52">
        <v>376.08229999999998</v>
      </c>
      <c r="M354" s="52">
        <v>376.08229999999998</v>
      </c>
      <c r="N354" s="5" t="s">
        <v>69</v>
      </c>
    </row>
    <row r="355" spans="1:14" x14ac:dyDescent="0.25">
      <c r="A355" s="50">
        <v>1.1439999999999999</v>
      </c>
      <c r="B355" s="52">
        <v>6120.9872999999998</v>
      </c>
      <c r="C355" s="52">
        <v>0</v>
      </c>
      <c r="D355" s="52">
        <v>724.59249999999997</v>
      </c>
      <c r="E355" s="52">
        <v>724.59249999999997</v>
      </c>
      <c r="F355" s="52">
        <v>0</v>
      </c>
      <c r="G355" s="52">
        <v>966.12329999999997</v>
      </c>
      <c r="H355" s="52">
        <v>483.06169999999997</v>
      </c>
      <c r="I355" s="52">
        <v>966.12329999999997</v>
      </c>
      <c r="J355" s="52">
        <v>376.08229999999998</v>
      </c>
      <c r="K355" s="52">
        <v>1128.2470000000001</v>
      </c>
      <c r="L355" s="52">
        <v>376.08229999999998</v>
      </c>
      <c r="M355" s="52">
        <v>376.08229999999998</v>
      </c>
      <c r="N355" s="5" t="s">
        <v>69</v>
      </c>
    </row>
    <row r="356" spans="1:14" x14ac:dyDescent="0.25">
      <c r="A356" s="50">
        <v>1.145</v>
      </c>
      <c r="B356" s="52">
        <v>6124.3653000000004</v>
      </c>
      <c r="C356" s="52">
        <v>0</v>
      </c>
      <c r="D356" s="52">
        <v>725.22590000000002</v>
      </c>
      <c r="E356" s="52">
        <v>725.22590000000002</v>
      </c>
      <c r="F356" s="52">
        <v>0</v>
      </c>
      <c r="G356" s="52">
        <v>966.96780000000001</v>
      </c>
      <c r="H356" s="52">
        <v>483.48390000000001</v>
      </c>
      <c r="I356" s="52">
        <v>966.96780000000001</v>
      </c>
      <c r="J356" s="52">
        <v>376.08229999999998</v>
      </c>
      <c r="K356" s="52">
        <v>1128.2470000000001</v>
      </c>
      <c r="L356" s="52">
        <v>376.08229999999998</v>
      </c>
      <c r="M356" s="52">
        <v>376.08229999999998</v>
      </c>
      <c r="N356" s="5" t="s">
        <v>69</v>
      </c>
    </row>
    <row r="357" spans="1:14" x14ac:dyDescent="0.25">
      <c r="A357" s="50">
        <v>1.1459999999999999</v>
      </c>
      <c r="B357" s="52">
        <v>6127.7434000000003</v>
      </c>
      <c r="C357" s="52">
        <v>0</v>
      </c>
      <c r="D357" s="52">
        <v>725.85929999999996</v>
      </c>
      <c r="E357" s="52">
        <v>725.85929999999996</v>
      </c>
      <c r="F357" s="52">
        <v>0</v>
      </c>
      <c r="G357" s="52">
        <v>967.81230000000005</v>
      </c>
      <c r="H357" s="52">
        <v>483.90620000000001</v>
      </c>
      <c r="I357" s="52">
        <v>967.81230000000005</v>
      </c>
      <c r="J357" s="52">
        <v>376.08229999999998</v>
      </c>
      <c r="K357" s="52">
        <v>1128.2470000000001</v>
      </c>
      <c r="L357" s="52">
        <v>376.08229999999998</v>
      </c>
      <c r="M357" s="52">
        <v>376.08229999999998</v>
      </c>
      <c r="N357" s="5" t="s">
        <v>69</v>
      </c>
    </row>
    <row r="358" spans="1:14" x14ac:dyDescent="0.25">
      <c r="A358" s="50">
        <v>1.147</v>
      </c>
      <c r="B358" s="52">
        <v>6131.1214</v>
      </c>
      <c r="C358" s="52">
        <v>0</v>
      </c>
      <c r="D358" s="52">
        <v>726.49260000000004</v>
      </c>
      <c r="E358" s="52">
        <v>726.49260000000004</v>
      </c>
      <c r="F358" s="52">
        <v>0</v>
      </c>
      <c r="G358" s="52">
        <v>968.65689999999995</v>
      </c>
      <c r="H358" s="52">
        <v>484.32839999999999</v>
      </c>
      <c r="I358" s="52">
        <v>968.65689999999995</v>
      </c>
      <c r="J358" s="52">
        <v>376.08229999999998</v>
      </c>
      <c r="K358" s="52">
        <v>1128.2470000000001</v>
      </c>
      <c r="L358" s="52">
        <v>376.08229999999998</v>
      </c>
      <c r="M358" s="52">
        <v>376.08229999999998</v>
      </c>
      <c r="N358" s="5" t="s">
        <v>69</v>
      </c>
    </row>
    <row r="359" spans="1:14" x14ac:dyDescent="0.25">
      <c r="A359" s="50">
        <v>1.1479999999999999</v>
      </c>
      <c r="B359" s="52">
        <v>6134.4994999999999</v>
      </c>
      <c r="C359" s="52">
        <v>0</v>
      </c>
      <c r="D359" s="52">
        <v>727.12599999999998</v>
      </c>
      <c r="E359" s="52">
        <v>727.12599999999998</v>
      </c>
      <c r="F359" s="52">
        <v>0</v>
      </c>
      <c r="G359" s="52">
        <v>969.50139999999999</v>
      </c>
      <c r="H359" s="52">
        <v>484.75069999999999</v>
      </c>
      <c r="I359" s="52">
        <v>969.50139999999999</v>
      </c>
      <c r="J359" s="52">
        <v>376.08229999999998</v>
      </c>
      <c r="K359" s="52">
        <v>1128.2470000000001</v>
      </c>
      <c r="L359" s="52">
        <v>376.08229999999998</v>
      </c>
      <c r="M359" s="52">
        <v>376.08229999999998</v>
      </c>
      <c r="N359" s="5" t="s">
        <v>69</v>
      </c>
    </row>
    <row r="360" spans="1:14" x14ac:dyDescent="0.25">
      <c r="A360" s="50">
        <v>1.149</v>
      </c>
      <c r="B360" s="52">
        <v>6137.8775999999998</v>
      </c>
      <c r="C360" s="52">
        <v>0</v>
      </c>
      <c r="D360" s="52">
        <v>727.75940000000003</v>
      </c>
      <c r="E360" s="52">
        <v>727.75940000000003</v>
      </c>
      <c r="F360" s="52">
        <v>0</v>
      </c>
      <c r="G360" s="52">
        <v>970.34590000000003</v>
      </c>
      <c r="H360" s="52">
        <v>485.17290000000003</v>
      </c>
      <c r="I360" s="52">
        <v>970.34590000000003</v>
      </c>
      <c r="J360" s="52">
        <v>376.08229999999998</v>
      </c>
      <c r="K360" s="52">
        <v>1128.2470000000001</v>
      </c>
      <c r="L360" s="52">
        <v>376.08229999999998</v>
      </c>
      <c r="M360" s="52">
        <v>376.08229999999998</v>
      </c>
      <c r="N360" s="5" t="s">
        <v>69</v>
      </c>
    </row>
    <row r="361" spans="1:14" x14ac:dyDescent="0.25">
      <c r="A361" s="50">
        <v>1.1499999999999999</v>
      </c>
      <c r="B361" s="52">
        <v>6141.2556000000004</v>
      </c>
      <c r="C361" s="52">
        <v>0</v>
      </c>
      <c r="D361" s="52">
        <v>728.39279999999997</v>
      </c>
      <c r="E361" s="52">
        <v>728.39279999999997</v>
      </c>
      <c r="F361" s="52">
        <v>0</v>
      </c>
      <c r="G361" s="52">
        <v>971.19039999999995</v>
      </c>
      <c r="H361" s="52">
        <v>485.59519999999998</v>
      </c>
      <c r="I361" s="52">
        <v>971.19039999999995</v>
      </c>
      <c r="J361" s="52">
        <v>376.08229999999998</v>
      </c>
      <c r="K361" s="52">
        <v>1128.2470000000001</v>
      </c>
      <c r="L361" s="52">
        <v>376.08229999999998</v>
      </c>
      <c r="M361" s="52">
        <v>376.08229999999998</v>
      </c>
      <c r="N361" s="5" t="s">
        <v>69</v>
      </c>
    </row>
    <row r="362" spans="1:14" x14ac:dyDescent="0.25">
      <c r="A362" s="50">
        <v>1.151</v>
      </c>
      <c r="B362" s="52">
        <v>6144.6337000000003</v>
      </c>
      <c r="C362" s="52">
        <v>0</v>
      </c>
      <c r="D362" s="52">
        <v>729.02620000000002</v>
      </c>
      <c r="E362" s="52">
        <v>729.02620000000002</v>
      </c>
      <c r="F362" s="52">
        <v>0</v>
      </c>
      <c r="G362" s="52">
        <v>972.03489999999999</v>
      </c>
      <c r="H362" s="52">
        <v>486.01749999999998</v>
      </c>
      <c r="I362" s="52">
        <v>972.03489999999999</v>
      </c>
      <c r="J362" s="52">
        <v>376.08229999999998</v>
      </c>
      <c r="K362" s="52">
        <v>1128.2470000000001</v>
      </c>
      <c r="L362" s="52">
        <v>376.08229999999998</v>
      </c>
      <c r="M362" s="52">
        <v>376.08229999999998</v>
      </c>
      <c r="N362" s="5" t="s">
        <v>69</v>
      </c>
    </row>
    <row r="363" spans="1:14" x14ac:dyDescent="0.25">
      <c r="A363" s="50">
        <v>1.1519999999999999</v>
      </c>
      <c r="B363" s="52">
        <v>6148.0117</v>
      </c>
      <c r="C363" s="52">
        <v>0</v>
      </c>
      <c r="D363" s="52">
        <v>729.65959999999995</v>
      </c>
      <c r="E363" s="52">
        <v>729.65959999999995</v>
      </c>
      <c r="F363" s="52">
        <v>0</v>
      </c>
      <c r="G363" s="52">
        <v>972.87940000000003</v>
      </c>
      <c r="H363" s="52">
        <v>486.43970000000002</v>
      </c>
      <c r="I363" s="52">
        <v>972.87940000000003</v>
      </c>
      <c r="J363" s="52">
        <v>376.08229999999998</v>
      </c>
      <c r="K363" s="52">
        <v>1128.2470000000001</v>
      </c>
      <c r="L363" s="52">
        <v>376.08229999999998</v>
      </c>
      <c r="M363" s="52">
        <v>376.08229999999998</v>
      </c>
      <c r="N363" s="5" t="s">
        <v>69</v>
      </c>
    </row>
    <row r="364" spans="1:14" x14ac:dyDescent="0.25">
      <c r="A364" s="50">
        <v>1.153</v>
      </c>
      <c r="B364" s="52">
        <v>6151.3897999999999</v>
      </c>
      <c r="C364" s="52">
        <v>0</v>
      </c>
      <c r="D364" s="52">
        <v>730.29300000000001</v>
      </c>
      <c r="E364" s="52">
        <v>730.29300000000001</v>
      </c>
      <c r="F364" s="52">
        <v>0</v>
      </c>
      <c r="G364" s="52">
        <v>973.72389999999996</v>
      </c>
      <c r="H364" s="52">
        <v>486.86200000000002</v>
      </c>
      <c r="I364" s="52">
        <v>973.72389999999996</v>
      </c>
      <c r="J364" s="52">
        <v>376.08229999999998</v>
      </c>
      <c r="K364" s="52">
        <v>1128.2470000000001</v>
      </c>
      <c r="L364" s="52">
        <v>376.08229999999998</v>
      </c>
      <c r="M364" s="52">
        <v>376.08229999999998</v>
      </c>
      <c r="N364" s="5" t="s">
        <v>69</v>
      </c>
    </row>
    <row r="365" spans="1:14" x14ac:dyDescent="0.25">
      <c r="A365" s="50">
        <v>1.1539999999999999</v>
      </c>
      <c r="B365" s="52">
        <v>6154.7677999999996</v>
      </c>
      <c r="C365" s="52">
        <v>0</v>
      </c>
      <c r="D365" s="52">
        <v>730.92629999999997</v>
      </c>
      <c r="E365" s="52">
        <v>730.92629999999997</v>
      </c>
      <c r="F365" s="52">
        <v>0</v>
      </c>
      <c r="G365" s="52">
        <v>974.56849999999997</v>
      </c>
      <c r="H365" s="52">
        <v>487.2842</v>
      </c>
      <c r="I365" s="52">
        <v>974.56849999999997</v>
      </c>
      <c r="J365" s="52">
        <v>376.08229999999998</v>
      </c>
      <c r="K365" s="52">
        <v>1128.2470000000001</v>
      </c>
      <c r="L365" s="52">
        <v>376.08229999999998</v>
      </c>
      <c r="M365" s="52">
        <v>376.08229999999998</v>
      </c>
      <c r="N365" s="5" t="s">
        <v>69</v>
      </c>
    </row>
    <row r="366" spans="1:14" x14ac:dyDescent="0.25">
      <c r="A366" s="50">
        <v>1.155</v>
      </c>
      <c r="B366" s="52">
        <v>6158.1459000000004</v>
      </c>
      <c r="C366" s="52">
        <v>0</v>
      </c>
      <c r="D366" s="52">
        <v>731.55970000000002</v>
      </c>
      <c r="E366" s="52">
        <v>731.55970000000002</v>
      </c>
      <c r="F366" s="52">
        <v>0</v>
      </c>
      <c r="G366" s="52">
        <v>975.41300000000001</v>
      </c>
      <c r="H366" s="52">
        <v>487.70650000000001</v>
      </c>
      <c r="I366" s="52">
        <v>975.41300000000001</v>
      </c>
      <c r="J366" s="52">
        <v>376.08229999999998</v>
      </c>
      <c r="K366" s="52">
        <v>1128.2470000000001</v>
      </c>
      <c r="L366" s="52">
        <v>376.08229999999998</v>
      </c>
      <c r="M366" s="52">
        <v>376.08229999999998</v>
      </c>
      <c r="N366" s="5" t="s">
        <v>69</v>
      </c>
    </row>
    <row r="367" spans="1:14" x14ac:dyDescent="0.25">
      <c r="A367" s="50">
        <v>1.1559999999999999</v>
      </c>
      <c r="B367" s="52">
        <v>6161.5239000000001</v>
      </c>
      <c r="C367" s="52">
        <v>0</v>
      </c>
      <c r="D367" s="52">
        <v>732.19309999999996</v>
      </c>
      <c r="E367" s="52">
        <v>732.19309999999996</v>
      </c>
      <c r="F367" s="52">
        <v>0</v>
      </c>
      <c r="G367" s="52">
        <v>976.25750000000005</v>
      </c>
      <c r="H367" s="52">
        <v>488.12869999999998</v>
      </c>
      <c r="I367" s="52">
        <v>976.25750000000005</v>
      </c>
      <c r="J367" s="52">
        <v>376.08229999999998</v>
      </c>
      <c r="K367" s="52">
        <v>1128.2470000000001</v>
      </c>
      <c r="L367" s="52">
        <v>376.08229999999998</v>
      </c>
      <c r="M367" s="52">
        <v>376.08229999999998</v>
      </c>
      <c r="N367" s="5" t="s">
        <v>69</v>
      </c>
    </row>
    <row r="368" spans="1:14" x14ac:dyDescent="0.25">
      <c r="A368" s="50">
        <v>1.157</v>
      </c>
      <c r="B368" s="52">
        <v>6164.902</v>
      </c>
      <c r="C368" s="52">
        <v>0</v>
      </c>
      <c r="D368" s="52">
        <v>732.82650000000001</v>
      </c>
      <c r="E368" s="52">
        <v>732.82650000000001</v>
      </c>
      <c r="F368" s="52">
        <v>0</v>
      </c>
      <c r="G368" s="52">
        <v>977.10199999999998</v>
      </c>
      <c r="H368" s="52">
        <v>488.55099999999999</v>
      </c>
      <c r="I368" s="52">
        <v>977.10199999999998</v>
      </c>
      <c r="J368" s="52">
        <v>376.08229999999998</v>
      </c>
      <c r="K368" s="52">
        <v>1128.2470000000001</v>
      </c>
      <c r="L368" s="52">
        <v>376.08229999999998</v>
      </c>
      <c r="M368" s="52">
        <v>376.08229999999998</v>
      </c>
      <c r="N368" s="5" t="s">
        <v>69</v>
      </c>
    </row>
    <row r="369" spans="1:14" x14ac:dyDescent="0.25">
      <c r="A369" s="50">
        <v>1.1579999999999999</v>
      </c>
      <c r="B369" s="52">
        <v>6168.28</v>
      </c>
      <c r="C369" s="52">
        <v>0</v>
      </c>
      <c r="D369" s="52">
        <v>733.45989999999995</v>
      </c>
      <c r="E369" s="52">
        <v>733.45989999999995</v>
      </c>
      <c r="F369" s="52">
        <v>0</v>
      </c>
      <c r="G369" s="52">
        <v>977.94650000000001</v>
      </c>
      <c r="H369" s="52">
        <v>488.97329999999999</v>
      </c>
      <c r="I369" s="52">
        <v>977.94650000000001</v>
      </c>
      <c r="J369" s="52">
        <v>376.08229999999998</v>
      </c>
      <c r="K369" s="52">
        <v>1128.2470000000001</v>
      </c>
      <c r="L369" s="52">
        <v>376.08229999999998</v>
      </c>
      <c r="M369" s="52">
        <v>376.08229999999998</v>
      </c>
      <c r="N369" s="5" t="s">
        <v>69</v>
      </c>
    </row>
    <row r="370" spans="1:14" x14ac:dyDescent="0.25">
      <c r="A370" s="50">
        <v>1.159</v>
      </c>
      <c r="B370" s="52">
        <v>6171.6580999999996</v>
      </c>
      <c r="C370" s="52">
        <v>0</v>
      </c>
      <c r="D370" s="52">
        <v>734.0933</v>
      </c>
      <c r="E370" s="52">
        <v>734.0933</v>
      </c>
      <c r="F370" s="52">
        <v>0</v>
      </c>
      <c r="G370" s="52">
        <v>978.79100000000005</v>
      </c>
      <c r="H370" s="52">
        <v>489.39550000000003</v>
      </c>
      <c r="I370" s="52">
        <v>978.79100000000005</v>
      </c>
      <c r="J370" s="52">
        <v>376.08229999999998</v>
      </c>
      <c r="K370" s="52">
        <v>1128.2470000000001</v>
      </c>
      <c r="L370" s="52">
        <v>376.08229999999998</v>
      </c>
      <c r="M370" s="52">
        <v>376.08229999999998</v>
      </c>
      <c r="N370" s="5" t="s">
        <v>69</v>
      </c>
    </row>
    <row r="371" spans="1:14" x14ac:dyDescent="0.25">
      <c r="A371" s="50">
        <v>1.1599999999999999</v>
      </c>
      <c r="B371" s="52">
        <v>6175.0361000000003</v>
      </c>
      <c r="C371" s="52">
        <v>0</v>
      </c>
      <c r="D371" s="52">
        <v>734.72670000000005</v>
      </c>
      <c r="E371" s="52">
        <v>734.72670000000005</v>
      </c>
      <c r="F371" s="52">
        <v>0</v>
      </c>
      <c r="G371" s="52">
        <v>979.63549999999998</v>
      </c>
      <c r="H371" s="52">
        <v>489.81779999999998</v>
      </c>
      <c r="I371" s="52">
        <v>979.63549999999998</v>
      </c>
      <c r="J371" s="52">
        <v>376.08229999999998</v>
      </c>
      <c r="K371" s="52">
        <v>1128.2470000000001</v>
      </c>
      <c r="L371" s="52">
        <v>376.08229999999998</v>
      </c>
      <c r="M371" s="52">
        <v>376.08229999999998</v>
      </c>
      <c r="N371" s="5" t="s">
        <v>69</v>
      </c>
    </row>
    <row r="372" spans="1:14" x14ac:dyDescent="0.25">
      <c r="A372" s="50">
        <v>1.161</v>
      </c>
      <c r="B372" s="52">
        <v>6178.4142000000002</v>
      </c>
      <c r="C372" s="52">
        <v>0</v>
      </c>
      <c r="D372" s="52">
        <v>735.36</v>
      </c>
      <c r="E372" s="52">
        <v>735.36</v>
      </c>
      <c r="F372" s="52">
        <v>0</v>
      </c>
      <c r="G372" s="52">
        <v>980.48</v>
      </c>
      <c r="H372" s="52">
        <v>490.24</v>
      </c>
      <c r="I372" s="52">
        <v>980.48</v>
      </c>
      <c r="J372" s="52">
        <v>376.08229999999998</v>
      </c>
      <c r="K372" s="52">
        <v>1128.2470000000001</v>
      </c>
      <c r="L372" s="52">
        <v>376.08229999999998</v>
      </c>
      <c r="M372" s="52">
        <v>376.08229999999998</v>
      </c>
      <c r="N372" s="5" t="s">
        <v>69</v>
      </c>
    </row>
    <row r="373" spans="1:14" x14ac:dyDescent="0.25">
      <c r="A373" s="50">
        <v>1.1619999999999999</v>
      </c>
      <c r="B373" s="52">
        <v>6181.7921999999999</v>
      </c>
      <c r="C373" s="52">
        <v>0</v>
      </c>
      <c r="D373" s="52">
        <v>735.99339999999995</v>
      </c>
      <c r="E373" s="52">
        <v>735.99339999999995</v>
      </c>
      <c r="F373" s="52">
        <v>0</v>
      </c>
      <c r="G373" s="52">
        <v>981.32460000000003</v>
      </c>
      <c r="H373" s="52">
        <v>490.66230000000002</v>
      </c>
      <c r="I373" s="52">
        <v>981.32460000000003</v>
      </c>
      <c r="J373" s="52">
        <v>376.08229999999998</v>
      </c>
      <c r="K373" s="52">
        <v>1128.2470000000001</v>
      </c>
      <c r="L373" s="52">
        <v>376.08229999999998</v>
      </c>
      <c r="M373" s="52">
        <v>376.08229999999998</v>
      </c>
      <c r="N373" s="5" t="s">
        <v>69</v>
      </c>
    </row>
    <row r="374" spans="1:14" x14ac:dyDescent="0.25">
      <c r="A374" s="50">
        <v>1.163</v>
      </c>
      <c r="B374" s="52">
        <v>6185.1702999999998</v>
      </c>
      <c r="C374" s="52">
        <v>0</v>
      </c>
      <c r="D374" s="52">
        <v>736.6268</v>
      </c>
      <c r="E374" s="52">
        <v>736.6268</v>
      </c>
      <c r="F374" s="52">
        <v>0</v>
      </c>
      <c r="G374" s="52">
        <v>982.16909999999996</v>
      </c>
      <c r="H374" s="52">
        <v>491.08449999999999</v>
      </c>
      <c r="I374" s="52">
        <v>982.16909999999996</v>
      </c>
      <c r="J374" s="52">
        <v>376.08229999999998</v>
      </c>
      <c r="K374" s="52">
        <v>1128.2470000000001</v>
      </c>
      <c r="L374" s="52">
        <v>376.08229999999998</v>
      </c>
      <c r="M374" s="52">
        <v>376.08229999999998</v>
      </c>
      <c r="N374" s="5" t="s">
        <v>69</v>
      </c>
    </row>
    <row r="375" spans="1:14" x14ac:dyDescent="0.25">
      <c r="A375" s="50">
        <v>1.1639999999999999</v>
      </c>
      <c r="B375" s="52">
        <v>6188.5483999999997</v>
      </c>
      <c r="C375" s="52">
        <v>0</v>
      </c>
      <c r="D375" s="52">
        <v>737.26020000000005</v>
      </c>
      <c r="E375" s="52">
        <v>737.26020000000005</v>
      </c>
      <c r="F375" s="52">
        <v>0</v>
      </c>
      <c r="G375" s="52">
        <v>983.0136</v>
      </c>
      <c r="H375" s="52">
        <v>491.5068</v>
      </c>
      <c r="I375" s="52">
        <v>983.0136</v>
      </c>
      <c r="J375" s="52">
        <v>376.08229999999998</v>
      </c>
      <c r="K375" s="52">
        <v>1128.2470000000001</v>
      </c>
      <c r="L375" s="52">
        <v>376.08229999999998</v>
      </c>
      <c r="M375" s="52">
        <v>376.08229999999998</v>
      </c>
      <c r="N375" s="5" t="s">
        <v>69</v>
      </c>
    </row>
    <row r="376" spans="1:14" x14ac:dyDescent="0.25">
      <c r="A376" s="50">
        <v>1.165</v>
      </c>
      <c r="B376" s="52">
        <v>6191.9264000000003</v>
      </c>
      <c r="C376" s="52">
        <v>0</v>
      </c>
      <c r="D376" s="52">
        <v>737.89359999999999</v>
      </c>
      <c r="E376" s="52">
        <v>737.89359999999999</v>
      </c>
      <c r="F376" s="52">
        <v>0</v>
      </c>
      <c r="G376" s="52">
        <v>983.85810000000004</v>
      </c>
      <c r="H376" s="52">
        <v>491.92910000000001</v>
      </c>
      <c r="I376" s="52">
        <v>983.85810000000004</v>
      </c>
      <c r="J376" s="52">
        <v>376.08229999999998</v>
      </c>
      <c r="K376" s="52">
        <v>1128.2470000000001</v>
      </c>
      <c r="L376" s="52">
        <v>376.08229999999998</v>
      </c>
      <c r="M376" s="52">
        <v>376.08229999999998</v>
      </c>
      <c r="N376" s="5" t="s">
        <v>69</v>
      </c>
    </row>
    <row r="377" spans="1:14" x14ac:dyDescent="0.25">
      <c r="A377" s="50">
        <v>1.1659999999999999</v>
      </c>
      <c r="B377" s="52">
        <v>6195.3045000000002</v>
      </c>
      <c r="C377" s="52">
        <v>0</v>
      </c>
      <c r="D377" s="52">
        <v>738.52700000000004</v>
      </c>
      <c r="E377" s="52">
        <v>738.52700000000004</v>
      </c>
      <c r="F377" s="52">
        <v>0</v>
      </c>
      <c r="G377" s="52">
        <v>984.70259999999996</v>
      </c>
      <c r="H377" s="52">
        <v>492.35129999999998</v>
      </c>
      <c r="I377" s="52">
        <v>984.70259999999996</v>
      </c>
      <c r="J377" s="52">
        <v>376.08229999999998</v>
      </c>
      <c r="K377" s="52">
        <v>1128.2470000000001</v>
      </c>
      <c r="L377" s="52">
        <v>376.08229999999998</v>
      </c>
      <c r="M377" s="52">
        <v>376.08229999999998</v>
      </c>
      <c r="N377" s="5" t="s">
        <v>69</v>
      </c>
    </row>
    <row r="378" spans="1:14" x14ac:dyDescent="0.25">
      <c r="A378" s="50">
        <v>1.167</v>
      </c>
      <c r="B378" s="52">
        <v>6198.6824999999999</v>
      </c>
      <c r="C378" s="52">
        <v>0</v>
      </c>
      <c r="D378" s="52">
        <v>739.16030000000001</v>
      </c>
      <c r="E378" s="52">
        <v>739.16030000000001</v>
      </c>
      <c r="F378" s="52">
        <v>0</v>
      </c>
      <c r="G378" s="52">
        <v>985.5471</v>
      </c>
      <c r="H378" s="52">
        <v>492.77359999999999</v>
      </c>
      <c r="I378" s="52">
        <v>985.5471</v>
      </c>
      <c r="J378" s="52">
        <v>376.08229999999998</v>
      </c>
      <c r="K378" s="52">
        <v>1128.2470000000001</v>
      </c>
      <c r="L378" s="52">
        <v>376.08229999999998</v>
      </c>
      <c r="M378" s="52">
        <v>376.08229999999998</v>
      </c>
      <c r="N378" s="5" t="s">
        <v>69</v>
      </c>
    </row>
    <row r="379" spans="1:14" x14ac:dyDescent="0.25">
      <c r="A379" s="50">
        <v>1.1679999999999999</v>
      </c>
      <c r="B379" s="52">
        <v>6202.0605999999998</v>
      </c>
      <c r="C379" s="52">
        <v>0</v>
      </c>
      <c r="D379" s="52">
        <v>739.79369999999994</v>
      </c>
      <c r="E379" s="52">
        <v>739.79369999999994</v>
      </c>
      <c r="F379" s="52">
        <v>0</v>
      </c>
      <c r="G379" s="52">
        <v>986.39160000000004</v>
      </c>
      <c r="H379" s="52">
        <v>493.19580000000002</v>
      </c>
      <c r="I379" s="52">
        <v>986.39160000000004</v>
      </c>
      <c r="J379" s="52">
        <v>376.08229999999998</v>
      </c>
      <c r="K379" s="52">
        <v>1128.2470000000001</v>
      </c>
      <c r="L379" s="52">
        <v>376.08229999999998</v>
      </c>
      <c r="M379" s="52">
        <v>376.08229999999998</v>
      </c>
      <c r="N379" s="5" t="s">
        <v>69</v>
      </c>
    </row>
    <row r="380" spans="1:14" x14ac:dyDescent="0.25">
      <c r="A380" s="50">
        <v>1.169</v>
      </c>
      <c r="B380" s="52">
        <v>6205.4386000000004</v>
      </c>
      <c r="C380" s="52">
        <v>0</v>
      </c>
      <c r="D380" s="52">
        <v>740.4271</v>
      </c>
      <c r="E380" s="52">
        <v>740.4271</v>
      </c>
      <c r="F380" s="52">
        <v>0</v>
      </c>
      <c r="G380" s="52">
        <v>987.23620000000005</v>
      </c>
      <c r="H380" s="52">
        <v>493.61810000000003</v>
      </c>
      <c r="I380" s="52">
        <v>987.23620000000005</v>
      </c>
      <c r="J380" s="52">
        <v>376.08229999999998</v>
      </c>
      <c r="K380" s="52">
        <v>1128.2470000000001</v>
      </c>
      <c r="L380" s="52">
        <v>376.08229999999998</v>
      </c>
      <c r="M380" s="52">
        <v>376.08229999999998</v>
      </c>
      <c r="N380" s="5" t="s">
        <v>69</v>
      </c>
    </row>
    <row r="381" spans="1:14" x14ac:dyDescent="0.25">
      <c r="A381" s="50">
        <v>1.17</v>
      </c>
      <c r="B381" s="52">
        <v>6208.8167000000003</v>
      </c>
      <c r="C381" s="52">
        <v>0</v>
      </c>
      <c r="D381" s="52">
        <v>741.06050000000005</v>
      </c>
      <c r="E381" s="52">
        <v>741.06050000000005</v>
      </c>
      <c r="F381" s="52">
        <v>0</v>
      </c>
      <c r="G381" s="52">
        <v>988.08069999999998</v>
      </c>
      <c r="H381" s="52">
        <v>494.0403</v>
      </c>
      <c r="I381" s="52">
        <v>988.08069999999998</v>
      </c>
      <c r="J381" s="52">
        <v>376.08229999999998</v>
      </c>
      <c r="K381" s="52">
        <v>1128.2470000000001</v>
      </c>
      <c r="L381" s="52">
        <v>376.08229999999998</v>
      </c>
      <c r="M381" s="52">
        <v>376.08229999999998</v>
      </c>
      <c r="N381" s="5" t="s">
        <v>69</v>
      </c>
    </row>
    <row r="382" spans="1:14" x14ac:dyDescent="0.25">
      <c r="A382" s="50">
        <v>1.171</v>
      </c>
      <c r="B382" s="52">
        <v>6212.1947</v>
      </c>
      <c r="C382" s="52">
        <v>0</v>
      </c>
      <c r="D382" s="52">
        <v>741.69389999999999</v>
      </c>
      <c r="E382" s="52">
        <v>741.69389999999999</v>
      </c>
      <c r="F382" s="52">
        <v>0</v>
      </c>
      <c r="G382" s="52">
        <v>988.92520000000002</v>
      </c>
      <c r="H382" s="52">
        <v>494.46260000000001</v>
      </c>
      <c r="I382" s="52">
        <v>988.92520000000002</v>
      </c>
      <c r="J382" s="52">
        <v>376.08229999999998</v>
      </c>
      <c r="K382" s="52">
        <v>1128.2470000000001</v>
      </c>
      <c r="L382" s="52">
        <v>376.08229999999998</v>
      </c>
      <c r="M382" s="52">
        <v>376.08229999999998</v>
      </c>
      <c r="N382" s="5" t="s">
        <v>69</v>
      </c>
    </row>
    <row r="383" spans="1:14" x14ac:dyDescent="0.25">
      <c r="A383" s="50">
        <v>1.1719999999999999</v>
      </c>
      <c r="B383" s="52">
        <v>6215.5727999999999</v>
      </c>
      <c r="C383" s="52">
        <v>0</v>
      </c>
      <c r="D383" s="52">
        <v>742.32730000000004</v>
      </c>
      <c r="E383" s="52">
        <v>742.32730000000004</v>
      </c>
      <c r="F383" s="52">
        <v>0</v>
      </c>
      <c r="G383" s="52">
        <v>989.76969999999994</v>
      </c>
      <c r="H383" s="52">
        <v>494.88479999999998</v>
      </c>
      <c r="I383" s="52">
        <v>989.76969999999994</v>
      </c>
      <c r="J383" s="52">
        <v>376.08229999999998</v>
      </c>
      <c r="K383" s="52">
        <v>1128.2470000000001</v>
      </c>
      <c r="L383" s="52">
        <v>376.08229999999998</v>
      </c>
      <c r="M383" s="52">
        <v>376.08229999999998</v>
      </c>
      <c r="N383" s="5" t="s">
        <v>69</v>
      </c>
    </row>
    <row r="384" spans="1:14" x14ac:dyDescent="0.25">
      <c r="A384" s="50">
        <v>1.173</v>
      </c>
      <c r="B384" s="52">
        <v>6218.9507999999996</v>
      </c>
      <c r="C384" s="52">
        <v>0</v>
      </c>
      <c r="D384" s="52">
        <v>742.96069999999997</v>
      </c>
      <c r="E384" s="52">
        <v>742.96069999999997</v>
      </c>
      <c r="F384" s="52">
        <v>0</v>
      </c>
      <c r="G384" s="52">
        <v>990.61419999999998</v>
      </c>
      <c r="H384" s="52">
        <v>495.30709999999999</v>
      </c>
      <c r="I384" s="52">
        <v>990.61419999999998</v>
      </c>
      <c r="J384" s="52">
        <v>376.08229999999998</v>
      </c>
      <c r="K384" s="52">
        <v>1128.2470000000001</v>
      </c>
      <c r="L384" s="52">
        <v>376.08229999999998</v>
      </c>
      <c r="M384" s="52">
        <v>376.08229999999998</v>
      </c>
      <c r="N384" s="5" t="s">
        <v>69</v>
      </c>
    </row>
    <row r="385" spans="1:14" x14ac:dyDescent="0.25">
      <c r="A385" s="50">
        <v>1.1739999999999999</v>
      </c>
      <c r="B385" s="52">
        <v>6222.3289000000004</v>
      </c>
      <c r="C385" s="52">
        <v>0</v>
      </c>
      <c r="D385" s="52">
        <v>743.59400000000005</v>
      </c>
      <c r="E385" s="52">
        <v>743.59400000000005</v>
      </c>
      <c r="F385" s="52">
        <v>0</v>
      </c>
      <c r="G385" s="52">
        <v>991.45870000000002</v>
      </c>
      <c r="H385" s="52">
        <v>495.7294</v>
      </c>
      <c r="I385" s="52">
        <v>991.45870000000002</v>
      </c>
      <c r="J385" s="52">
        <v>376.08229999999998</v>
      </c>
      <c r="K385" s="52">
        <v>1128.2470000000001</v>
      </c>
      <c r="L385" s="52">
        <v>376.08229999999998</v>
      </c>
      <c r="M385" s="52">
        <v>376.08229999999998</v>
      </c>
      <c r="N385" s="5" t="s">
        <v>69</v>
      </c>
    </row>
    <row r="386" spans="1:14" x14ac:dyDescent="0.25">
      <c r="A386" s="50">
        <v>1.175</v>
      </c>
      <c r="B386" s="52">
        <v>6225.7069000000001</v>
      </c>
      <c r="C386" s="52">
        <v>0</v>
      </c>
      <c r="D386" s="52">
        <v>744.22739999999999</v>
      </c>
      <c r="E386" s="52">
        <v>744.22739999999999</v>
      </c>
      <c r="F386" s="52">
        <v>0</v>
      </c>
      <c r="G386" s="52">
        <v>992.30319999999995</v>
      </c>
      <c r="H386" s="52">
        <v>496.15159999999997</v>
      </c>
      <c r="I386" s="52">
        <v>992.30319999999995</v>
      </c>
      <c r="J386" s="52">
        <v>376.08229999999998</v>
      </c>
      <c r="K386" s="52">
        <v>1128.2470000000001</v>
      </c>
      <c r="L386" s="52">
        <v>376.08229999999998</v>
      </c>
      <c r="M386" s="52">
        <v>376.08229999999998</v>
      </c>
      <c r="N386" s="5" t="s">
        <v>69</v>
      </c>
    </row>
    <row r="387" spans="1:14" x14ac:dyDescent="0.25">
      <c r="A387" s="50">
        <v>1.1759999999999999</v>
      </c>
      <c r="B387" s="52">
        <v>6229.085</v>
      </c>
      <c r="C387" s="52">
        <v>0</v>
      </c>
      <c r="D387" s="52">
        <v>744.86080000000004</v>
      </c>
      <c r="E387" s="52">
        <v>744.86080000000004</v>
      </c>
      <c r="F387" s="52">
        <v>0</v>
      </c>
      <c r="G387" s="52">
        <v>993.14779999999996</v>
      </c>
      <c r="H387" s="52">
        <v>496.57389999999998</v>
      </c>
      <c r="I387" s="52">
        <v>993.14779999999996</v>
      </c>
      <c r="J387" s="52">
        <v>376.08229999999998</v>
      </c>
      <c r="K387" s="52">
        <v>1128.2470000000001</v>
      </c>
      <c r="L387" s="52">
        <v>376.08229999999998</v>
      </c>
      <c r="M387" s="52">
        <v>376.08229999999998</v>
      </c>
      <c r="N387" s="5" t="s">
        <v>69</v>
      </c>
    </row>
    <row r="388" spans="1:14" x14ac:dyDescent="0.25">
      <c r="A388" s="50">
        <v>1.177</v>
      </c>
      <c r="B388" s="52">
        <v>6232.4630999999999</v>
      </c>
      <c r="C388" s="52">
        <v>0</v>
      </c>
      <c r="D388" s="52">
        <v>745.49419999999998</v>
      </c>
      <c r="E388" s="52">
        <v>745.49419999999998</v>
      </c>
      <c r="F388" s="52">
        <v>0</v>
      </c>
      <c r="G388" s="52">
        <v>993.9923</v>
      </c>
      <c r="H388" s="52">
        <v>496.99610000000001</v>
      </c>
      <c r="I388" s="52">
        <v>993.9923</v>
      </c>
      <c r="J388" s="52">
        <v>376.08229999999998</v>
      </c>
      <c r="K388" s="52">
        <v>1128.2470000000001</v>
      </c>
      <c r="L388" s="52">
        <v>376.08229999999998</v>
      </c>
      <c r="M388" s="52">
        <v>376.08229999999998</v>
      </c>
      <c r="N388" s="5" t="s">
        <v>69</v>
      </c>
    </row>
    <row r="389" spans="1:14" x14ac:dyDescent="0.25">
      <c r="A389" s="50">
        <v>1.1779999999999999</v>
      </c>
      <c r="B389" s="52">
        <v>6235.8410999999996</v>
      </c>
      <c r="C389" s="52">
        <v>0</v>
      </c>
      <c r="D389" s="52">
        <v>746.12760000000003</v>
      </c>
      <c r="E389" s="52">
        <v>746.12760000000003</v>
      </c>
      <c r="F389" s="52">
        <v>0</v>
      </c>
      <c r="G389" s="52">
        <v>994.83680000000004</v>
      </c>
      <c r="H389" s="52">
        <v>497.41840000000002</v>
      </c>
      <c r="I389" s="52">
        <v>994.83680000000004</v>
      </c>
      <c r="J389" s="52">
        <v>376.08229999999998</v>
      </c>
      <c r="K389" s="52">
        <v>1128.2470000000001</v>
      </c>
      <c r="L389" s="52">
        <v>376.08229999999998</v>
      </c>
      <c r="M389" s="52">
        <v>376.08229999999998</v>
      </c>
      <c r="N389" s="5" t="s">
        <v>69</v>
      </c>
    </row>
    <row r="390" spans="1:14" x14ac:dyDescent="0.25">
      <c r="A390" s="50">
        <v>1.179</v>
      </c>
      <c r="B390" s="52">
        <v>6239.2191999999995</v>
      </c>
      <c r="C390" s="52">
        <v>0</v>
      </c>
      <c r="D390" s="52">
        <v>746.76099999999997</v>
      </c>
      <c r="E390" s="52">
        <v>746.76099999999997</v>
      </c>
      <c r="F390" s="52">
        <v>0</v>
      </c>
      <c r="G390" s="52">
        <v>995.68129999999996</v>
      </c>
      <c r="H390" s="52">
        <v>497.84059999999999</v>
      </c>
      <c r="I390" s="52">
        <v>995.68129999999996</v>
      </c>
      <c r="J390" s="52">
        <v>376.08229999999998</v>
      </c>
      <c r="K390" s="52">
        <v>1128.2470000000001</v>
      </c>
      <c r="L390" s="52">
        <v>376.08229999999998</v>
      </c>
      <c r="M390" s="52">
        <v>376.08229999999998</v>
      </c>
      <c r="N390" s="5" t="s">
        <v>69</v>
      </c>
    </row>
    <row r="391" spans="1:14" x14ac:dyDescent="0.25">
      <c r="A391" s="50">
        <v>1.18</v>
      </c>
      <c r="B391" s="52">
        <v>6242.5972000000002</v>
      </c>
      <c r="C391" s="52">
        <v>0</v>
      </c>
      <c r="D391" s="52">
        <v>747.39440000000002</v>
      </c>
      <c r="E391" s="52">
        <v>747.39440000000002</v>
      </c>
      <c r="F391" s="52">
        <v>0</v>
      </c>
      <c r="G391" s="52">
        <v>996.5258</v>
      </c>
      <c r="H391" s="52">
        <v>498.2629</v>
      </c>
      <c r="I391" s="52">
        <v>996.5258</v>
      </c>
      <c r="J391" s="52">
        <v>376.08229999999998</v>
      </c>
      <c r="K391" s="52">
        <v>1128.2470000000001</v>
      </c>
      <c r="L391" s="52">
        <v>376.08229999999998</v>
      </c>
      <c r="M391" s="52">
        <v>376.08229999999998</v>
      </c>
      <c r="N391" s="5" t="s">
        <v>69</v>
      </c>
    </row>
    <row r="392" spans="1:14" x14ac:dyDescent="0.25">
      <c r="A392" s="50">
        <v>1.181</v>
      </c>
      <c r="B392" s="52">
        <v>6245.9753000000001</v>
      </c>
      <c r="C392" s="52">
        <v>0</v>
      </c>
      <c r="D392" s="52">
        <v>748.02769999999998</v>
      </c>
      <c r="E392" s="52">
        <v>748.02769999999998</v>
      </c>
      <c r="F392" s="52">
        <v>0</v>
      </c>
      <c r="G392" s="52">
        <v>997.37030000000004</v>
      </c>
      <c r="H392" s="52">
        <v>498.68520000000001</v>
      </c>
      <c r="I392" s="52">
        <v>997.37030000000004</v>
      </c>
      <c r="J392" s="52">
        <v>376.08229999999998</v>
      </c>
      <c r="K392" s="52">
        <v>1128.2470000000001</v>
      </c>
      <c r="L392" s="52">
        <v>376.08229999999998</v>
      </c>
      <c r="M392" s="52">
        <v>376.08229999999998</v>
      </c>
      <c r="N392" s="5" t="s">
        <v>69</v>
      </c>
    </row>
    <row r="393" spans="1:14" x14ac:dyDescent="0.25">
      <c r="A393" s="50">
        <v>1.1819999999999999</v>
      </c>
      <c r="B393" s="52">
        <v>6249.3532999999998</v>
      </c>
      <c r="C393" s="52">
        <v>0</v>
      </c>
      <c r="D393" s="52">
        <v>748.66110000000003</v>
      </c>
      <c r="E393" s="52">
        <v>748.66110000000003</v>
      </c>
      <c r="F393" s="52">
        <v>0</v>
      </c>
      <c r="G393" s="52">
        <v>998.21479999999997</v>
      </c>
      <c r="H393" s="52">
        <v>499.10739999999998</v>
      </c>
      <c r="I393" s="52">
        <v>998.21479999999997</v>
      </c>
      <c r="J393" s="52">
        <v>376.08229999999998</v>
      </c>
      <c r="K393" s="52">
        <v>1128.2470000000001</v>
      </c>
      <c r="L393" s="52">
        <v>376.08229999999998</v>
      </c>
      <c r="M393" s="52">
        <v>376.08229999999998</v>
      </c>
      <c r="N393" s="5" t="s">
        <v>69</v>
      </c>
    </row>
    <row r="394" spans="1:14" x14ac:dyDescent="0.25">
      <c r="A394" s="50">
        <v>1.1830000000000001</v>
      </c>
      <c r="B394" s="52">
        <v>6252.7313999999997</v>
      </c>
      <c r="C394" s="52">
        <v>0</v>
      </c>
      <c r="D394" s="52">
        <v>749.29449999999997</v>
      </c>
      <c r="E394" s="52">
        <v>749.29449999999997</v>
      </c>
      <c r="F394" s="52">
        <v>0</v>
      </c>
      <c r="G394" s="52">
        <v>999.05930000000001</v>
      </c>
      <c r="H394" s="52">
        <v>499.52969999999999</v>
      </c>
      <c r="I394" s="52">
        <v>999.05930000000001</v>
      </c>
      <c r="J394" s="52">
        <v>376.08229999999998</v>
      </c>
      <c r="K394" s="52">
        <v>1128.2470000000001</v>
      </c>
      <c r="L394" s="52">
        <v>376.08229999999998</v>
      </c>
      <c r="M394" s="52">
        <v>376.08229999999998</v>
      </c>
      <c r="N394" s="5" t="s">
        <v>69</v>
      </c>
    </row>
    <row r="395" spans="1:14" x14ac:dyDescent="0.25">
      <c r="A395" s="50">
        <v>1.1839999999999999</v>
      </c>
      <c r="B395" s="52">
        <v>6256.1094000000003</v>
      </c>
      <c r="C395" s="52">
        <v>0</v>
      </c>
      <c r="D395" s="52">
        <v>749.92790000000002</v>
      </c>
      <c r="E395" s="52">
        <v>749.92790000000002</v>
      </c>
      <c r="F395" s="52">
        <v>0</v>
      </c>
      <c r="G395" s="52">
        <v>999.90390000000002</v>
      </c>
      <c r="H395" s="52">
        <v>499.95190000000002</v>
      </c>
      <c r="I395" s="52">
        <v>999.90390000000002</v>
      </c>
      <c r="J395" s="52">
        <v>376.08229999999998</v>
      </c>
      <c r="K395" s="52">
        <v>1128.2470000000001</v>
      </c>
      <c r="L395" s="52">
        <v>376.08229999999998</v>
      </c>
      <c r="M395" s="52">
        <v>376.08229999999998</v>
      </c>
      <c r="N395" s="5" t="s">
        <v>69</v>
      </c>
    </row>
    <row r="396" spans="1:14" x14ac:dyDescent="0.25">
      <c r="A396" s="50">
        <v>1.1850000000000001</v>
      </c>
      <c r="B396" s="52">
        <v>6259.4875000000002</v>
      </c>
      <c r="C396" s="52">
        <v>0</v>
      </c>
      <c r="D396" s="52">
        <v>750.56129999999996</v>
      </c>
      <c r="E396" s="52">
        <v>750.56129999999996</v>
      </c>
      <c r="F396" s="52">
        <v>0</v>
      </c>
      <c r="G396" s="52">
        <v>1000.7483999999999</v>
      </c>
      <c r="H396" s="52">
        <v>500.37419999999997</v>
      </c>
      <c r="I396" s="52">
        <v>1000.7483999999999</v>
      </c>
      <c r="J396" s="52">
        <v>376.08229999999998</v>
      </c>
      <c r="K396" s="52">
        <v>1128.2470000000001</v>
      </c>
      <c r="L396" s="52">
        <v>376.08229999999998</v>
      </c>
      <c r="M396" s="52">
        <v>376.08229999999998</v>
      </c>
      <c r="N396" s="5" t="s">
        <v>69</v>
      </c>
    </row>
    <row r="397" spans="1:14" x14ac:dyDescent="0.25">
      <c r="A397" s="50">
        <v>1.1859999999999999</v>
      </c>
      <c r="B397" s="52">
        <v>6262.8654999999999</v>
      </c>
      <c r="C397" s="52">
        <v>0</v>
      </c>
      <c r="D397" s="52">
        <v>751.19470000000001</v>
      </c>
      <c r="E397" s="52">
        <v>751.19470000000001</v>
      </c>
      <c r="F397" s="52">
        <v>0</v>
      </c>
      <c r="G397" s="52">
        <v>1001.5929</v>
      </c>
      <c r="H397" s="52">
        <v>500.79640000000001</v>
      </c>
      <c r="I397" s="52">
        <v>1001.5929</v>
      </c>
      <c r="J397" s="52">
        <v>376.08229999999998</v>
      </c>
      <c r="K397" s="52">
        <v>1128.2470000000001</v>
      </c>
      <c r="L397" s="52">
        <v>376.08229999999998</v>
      </c>
      <c r="M397" s="52">
        <v>376.08229999999998</v>
      </c>
      <c r="N397" s="5" t="s">
        <v>69</v>
      </c>
    </row>
    <row r="398" spans="1:14" x14ac:dyDescent="0.25">
      <c r="A398" s="50">
        <v>1.1870000000000001</v>
      </c>
      <c r="B398" s="52">
        <v>6266.2435999999998</v>
      </c>
      <c r="C398" s="52">
        <v>0</v>
      </c>
      <c r="D398" s="52">
        <v>751.82799999999997</v>
      </c>
      <c r="E398" s="52">
        <v>751.82799999999997</v>
      </c>
      <c r="F398" s="52">
        <v>0</v>
      </c>
      <c r="G398" s="52">
        <v>1002.4374</v>
      </c>
      <c r="H398" s="52">
        <v>501.21870000000001</v>
      </c>
      <c r="I398" s="52">
        <v>1002.4374</v>
      </c>
      <c r="J398" s="52">
        <v>376.08229999999998</v>
      </c>
      <c r="K398" s="52">
        <v>1128.2470000000001</v>
      </c>
      <c r="L398" s="52">
        <v>376.08229999999998</v>
      </c>
      <c r="M398" s="52">
        <v>376.08229999999998</v>
      </c>
      <c r="N398" s="5" t="s">
        <v>69</v>
      </c>
    </row>
    <row r="399" spans="1:14" x14ac:dyDescent="0.25">
      <c r="A399" s="50">
        <v>1.1879999999999999</v>
      </c>
      <c r="B399" s="52">
        <v>6269.6216000000004</v>
      </c>
      <c r="C399" s="52">
        <v>0</v>
      </c>
      <c r="D399" s="52">
        <v>752.46140000000003</v>
      </c>
      <c r="E399" s="52">
        <v>752.46140000000003</v>
      </c>
      <c r="F399" s="52">
        <v>0</v>
      </c>
      <c r="G399" s="52">
        <v>1003.2819</v>
      </c>
      <c r="H399" s="52">
        <v>501.64100000000002</v>
      </c>
      <c r="I399" s="52">
        <v>1003.2819</v>
      </c>
      <c r="J399" s="52">
        <v>376.08229999999998</v>
      </c>
      <c r="K399" s="52">
        <v>1128.2470000000001</v>
      </c>
      <c r="L399" s="52">
        <v>376.08229999999998</v>
      </c>
      <c r="M399" s="52">
        <v>376.08229999999998</v>
      </c>
      <c r="N399" s="5" t="s">
        <v>69</v>
      </c>
    </row>
    <row r="400" spans="1:14" x14ac:dyDescent="0.25">
      <c r="A400" s="50">
        <v>1.1890000000000001</v>
      </c>
      <c r="B400" s="52">
        <v>6272.9997000000003</v>
      </c>
      <c r="C400" s="52">
        <v>0</v>
      </c>
      <c r="D400" s="52">
        <v>753.09479999999996</v>
      </c>
      <c r="E400" s="52">
        <v>753.09479999999996</v>
      </c>
      <c r="F400" s="52">
        <v>0</v>
      </c>
      <c r="G400" s="52">
        <v>1004.1264</v>
      </c>
      <c r="H400" s="52">
        <v>502.06319999999999</v>
      </c>
      <c r="I400" s="52">
        <v>1004.1264</v>
      </c>
      <c r="J400" s="52">
        <v>376.08229999999998</v>
      </c>
      <c r="K400" s="52">
        <v>1128.2470000000001</v>
      </c>
      <c r="L400" s="52">
        <v>376.08229999999998</v>
      </c>
      <c r="M400" s="52">
        <v>376.08229999999998</v>
      </c>
      <c r="N400" s="5" t="s">
        <v>69</v>
      </c>
    </row>
    <row r="401" spans="1:14" x14ac:dyDescent="0.25">
      <c r="A401" s="50">
        <v>1.19</v>
      </c>
      <c r="B401" s="52">
        <v>6276.3777</v>
      </c>
      <c r="C401" s="52">
        <v>0</v>
      </c>
      <c r="D401" s="52">
        <v>753.72820000000002</v>
      </c>
      <c r="E401" s="52">
        <v>753.72820000000002</v>
      </c>
      <c r="F401" s="52">
        <v>0</v>
      </c>
      <c r="G401" s="52">
        <v>1004.9709</v>
      </c>
      <c r="H401" s="52">
        <v>502.4855</v>
      </c>
      <c r="I401" s="52">
        <v>1004.9709</v>
      </c>
      <c r="J401" s="52">
        <v>376.08229999999998</v>
      </c>
      <c r="K401" s="52">
        <v>1128.2470000000001</v>
      </c>
      <c r="L401" s="52">
        <v>376.08229999999998</v>
      </c>
      <c r="M401" s="52">
        <v>376.08229999999998</v>
      </c>
      <c r="N401" s="5" t="s">
        <v>69</v>
      </c>
    </row>
    <row r="402" spans="1:14" x14ac:dyDescent="0.25">
      <c r="A402" s="50">
        <v>1.1910000000000001</v>
      </c>
      <c r="B402" s="52">
        <v>6279.7557999999999</v>
      </c>
      <c r="C402" s="52">
        <v>0</v>
      </c>
      <c r="D402" s="52">
        <v>754.36159999999995</v>
      </c>
      <c r="E402" s="52">
        <v>754.36159999999995</v>
      </c>
      <c r="F402" s="52">
        <v>0</v>
      </c>
      <c r="G402" s="52">
        <v>1005.8155</v>
      </c>
      <c r="H402" s="52">
        <v>502.90769999999998</v>
      </c>
      <c r="I402" s="52">
        <v>1005.8155</v>
      </c>
      <c r="J402" s="52">
        <v>376.08229999999998</v>
      </c>
      <c r="K402" s="52">
        <v>1128.2470000000001</v>
      </c>
      <c r="L402" s="52">
        <v>376.08229999999998</v>
      </c>
      <c r="M402" s="52">
        <v>376.08229999999998</v>
      </c>
      <c r="N402" s="5" t="s">
        <v>69</v>
      </c>
    </row>
    <row r="403" spans="1:14" x14ac:dyDescent="0.25">
      <c r="A403" s="50">
        <v>1.1919999999999999</v>
      </c>
      <c r="B403" s="52">
        <v>6283.1338999999998</v>
      </c>
      <c r="C403" s="52">
        <v>0</v>
      </c>
      <c r="D403" s="52">
        <v>754.995</v>
      </c>
      <c r="E403" s="52">
        <v>754.995</v>
      </c>
      <c r="F403" s="52">
        <v>0</v>
      </c>
      <c r="G403" s="52">
        <v>1006.66</v>
      </c>
      <c r="H403" s="52">
        <v>503.33</v>
      </c>
      <c r="I403" s="52">
        <v>1006.66</v>
      </c>
      <c r="J403" s="52">
        <v>376.08229999999998</v>
      </c>
      <c r="K403" s="52">
        <v>1128.2470000000001</v>
      </c>
      <c r="L403" s="52">
        <v>376.08229999999998</v>
      </c>
      <c r="M403" s="52">
        <v>376.08229999999998</v>
      </c>
      <c r="N403" s="5" t="s">
        <v>69</v>
      </c>
    </row>
    <row r="404" spans="1:14" x14ac:dyDescent="0.25">
      <c r="A404" s="50">
        <v>1.1930000000000001</v>
      </c>
      <c r="B404" s="52">
        <v>6286.5119000000004</v>
      </c>
      <c r="C404" s="52">
        <v>0</v>
      </c>
      <c r="D404" s="52">
        <v>755.62840000000006</v>
      </c>
      <c r="E404" s="52">
        <v>755.62840000000006</v>
      </c>
      <c r="F404" s="52">
        <v>0</v>
      </c>
      <c r="G404" s="52">
        <v>1007.5045</v>
      </c>
      <c r="H404" s="52">
        <v>503.75220000000002</v>
      </c>
      <c r="I404" s="52">
        <v>1007.5045</v>
      </c>
      <c r="J404" s="52">
        <v>376.08229999999998</v>
      </c>
      <c r="K404" s="52">
        <v>1128.2470000000001</v>
      </c>
      <c r="L404" s="52">
        <v>376.08229999999998</v>
      </c>
      <c r="M404" s="52">
        <v>376.08229999999998</v>
      </c>
      <c r="N404" s="5" t="s">
        <v>69</v>
      </c>
    </row>
    <row r="405" spans="1:14" x14ac:dyDescent="0.25">
      <c r="A405" s="50">
        <v>1.194</v>
      </c>
      <c r="B405" s="52">
        <v>6289.89</v>
      </c>
      <c r="C405" s="52">
        <v>0</v>
      </c>
      <c r="D405" s="52">
        <v>756.26170000000002</v>
      </c>
      <c r="E405" s="52">
        <v>756.26170000000002</v>
      </c>
      <c r="F405" s="52">
        <v>0</v>
      </c>
      <c r="G405" s="52">
        <v>1008.349</v>
      </c>
      <c r="H405" s="52">
        <v>504.17450000000002</v>
      </c>
      <c r="I405" s="52">
        <v>1008.349</v>
      </c>
      <c r="J405" s="52">
        <v>376.08229999999998</v>
      </c>
      <c r="K405" s="52">
        <v>1128.2470000000001</v>
      </c>
      <c r="L405" s="52">
        <v>376.08229999999998</v>
      </c>
      <c r="M405" s="52">
        <v>376.08229999999998</v>
      </c>
      <c r="N405" s="5" t="s">
        <v>69</v>
      </c>
    </row>
    <row r="406" spans="1:14" x14ac:dyDescent="0.25">
      <c r="A406" s="50">
        <v>1.1950000000000001</v>
      </c>
      <c r="B406" s="52">
        <v>6293.268</v>
      </c>
      <c r="C406" s="52">
        <v>0</v>
      </c>
      <c r="D406" s="52">
        <v>756.89509999999996</v>
      </c>
      <c r="E406" s="52">
        <v>756.89509999999996</v>
      </c>
      <c r="F406" s="52">
        <v>0</v>
      </c>
      <c r="G406" s="52">
        <v>1009.1935</v>
      </c>
      <c r="H406" s="52">
        <v>504.59679999999997</v>
      </c>
      <c r="I406" s="52">
        <v>1009.1935</v>
      </c>
      <c r="J406" s="52">
        <v>376.08229999999998</v>
      </c>
      <c r="K406" s="52">
        <v>1128.2470000000001</v>
      </c>
      <c r="L406" s="52">
        <v>376.08229999999998</v>
      </c>
      <c r="M406" s="52">
        <v>376.08229999999998</v>
      </c>
      <c r="N406" s="5" t="s">
        <v>69</v>
      </c>
    </row>
    <row r="407" spans="1:14" x14ac:dyDescent="0.25">
      <c r="A407" s="50">
        <v>1.196</v>
      </c>
      <c r="B407" s="52">
        <v>6296.6460999999999</v>
      </c>
      <c r="C407" s="52">
        <v>0</v>
      </c>
      <c r="D407" s="52">
        <v>757.52850000000001</v>
      </c>
      <c r="E407" s="52">
        <v>757.52850000000001</v>
      </c>
      <c r="F407" s="52">
        <v>0</v>
      </c>
      <c r="G407" s="52">
        <v>1010.038</v>
      </c>
      <c r="H407" s="52">
        <v>505.01900000000001</v>
      </c>
      <c r="I407" s="52">
        <v>1010.038</v>
      </c>
      <c r="J407" s="52">
        <v>376.08229999999998</v>
      </c>
      <c r="K407" s="52">
        <v>1128.2470000000001</v>
      </c>
      <c r="L407" s="52">
        <v>376.08229999999998</v>
      </c>
      <c r="M407" s="52">
        <v>376.08229999999998</v>
      </c>
      <c r="N407" s="5" t="s">
        <v>69</v>
      </c>
    </row>
    <row r="408" spans="1:14" x14ac:dyDescent="0.25">
      <c r="A408" s="50">
        <v>1.1970000000000001</v>
      </c>
      <c r="B408" s="52">
        <v>6300.0240999999996</v>
      </c>
      <c r="C408" s="52">
        <v>0</v>
      </c>
      <c r="D408" s="52">
        <v>758.16189999999995</v>
      </c>
      <c r="E408" s="52">
        <v>758.16189999999995</v>
      </c>
      <c r="F408" s="52">
        <v>0</v>
      </c>
      <c r="G408" s="52">
        <v>1010.8825000000001</v>
      </c>
      <c r="H408" s="52">
        <v>505.44130000000001</v>
      </c>
      <c r="I408" s="52">
        <v>1010.8825000000001</v>
      </c>
      <c r="J408" s="52">
        <v>376.08229999999998</v>
      </c>
      <c r="K408" s="52">
        <v>1128.2470000000001</v>
      </c>
      <c r="L408" s="52">
        <v>376.08229999999998</v>
      </c>
      <c r="M408" s="52">
        <v>376.08229999999998</v>
      </c>
      <c r="N408" s="5" t="s">
        <v>69</v>
      </c>
    </row>
    <row r="409" spans="1:14" x14ac:dyDescent="0.25">
      <c r="A409" s="50">
        <v>1.198</v>
      </c>
      <c r="B409" s="52">
        <v>6303.4022000000004</v>
      </c>
      <c r="C409" s="52">
        <v>0</v>
      </c>
      <c r="D409" s="52">
        <v>758.7953</v>
      </c>
      <c r="E409" s="52">
        <v>758.7953</v>
      </c>
      <c r="F409" s="52">
        <v>0</v>
      </c>
      <c r="G409" s="52">
        <v>1011.727</v>
      </c>
      <c r="H409" s="52">
        <v>505.86349999999999</v>
      </c>
      <c r="I409" s="52">
        <v>1011.727</v>
      </c>
      <c r="J409" s="52">
        <v>376.08229999999998</v>
      </c>
      <c r="K409" s="52">
        <v>1128.2470000000001</v>
      </c>
      <c r="L409" s="52">
        <v>376.08229999999998</v>
      </c>
      <c r="M409" s="52">
        <v>376.08229999999998</v>
      </c>
      <c r="N409" s="5" t="s">
        <v>69</v>
      </c>
    </row>
    <row r="410" spans="1:14" x14ac:dyDescent="0.25">
      <c r="A410" s="50">
        <v>1.1990000000000001</v>
      </c>
      <c r="B410" s="52">
        <v>6306.7802000000001</v>
      </c>
      <c r="C410" s="52">
        <v>0</v>
      </c>
      <c r="D410" s="52">
        <v>759.42870000000005</v>
      </c>
      <c r="E410" s="52">
        <v>759.42870000000005</v>
      </c>
      <c r="F410" s="52">
        <v>0</v>
      </c>
      <c r="G410" s="52">
        <v>1012.5716</v>
      </c>
      <c r="H410" s="52">
        <v>506.28579999999999</v>
      </c>
      <c r="I410" s="52">
        <v>1012.5716</v>
      </c>
      <c r="J410" s="52">
        <v>376.08229999999998</v>
      </c>
      <c r="K410" s="52">
        <v>1128.2470000000001</v>
      </c>
      <c r="L410" s="52">
        <v>376.08229999999998</v>
      </c>
      <c r="M410" s="52">
        <v>376.08229999999998</v>
      </c>
      <c r="N410" s="5" t="s">
        <v>69</v>
      </c>
    </row>
    <row r="411" spans="1:14" x14ac:dyDescent="0.25">
      <c r="A411" s="50">
        <v>1.2</v>
      </c>
      <c r="B411" s="52">
        <v>7152.0731999999998</v>
      </c>
      <c r="C411" s="52">
        <v>0</v>
      </c>
      <c r="D411" s="52">
        <v>917.92110000000002</v>
      </c>
      <c r="E411" s="52">
        <v>917.92110000000002</v>
      </c>
      <c r="F411" s="52">
        <v>0</v>
      </c>
      <c r="G411" s="52">
        <v>1223.8948</v>
      </c>
      <c r="H411" s="52">
        <v>611.94740000000002</v>
      </c>
      <c r="I411" s="52">
        <v>1223.8948</v>
      </c>
      <c r="J411" s="52">
        <v>376.08229999999998</v>
      </c>
      <c r="K411" s="52">
        <v>1128.2470000000001</v>
      </c>
      <c r="L411" s="52">
        <v>376.08229999999998</v>
      </c>
      <c r="M411" s="52">
        <v>376.08229999999998</v>
      </c>
      <c r="N411" s="5" t="s">
        <v>69</v>
      </c>
    </row>
    <row r="412" spans="1:14" x14ac:dyDescent="0.25">
      <c r="A412" s="50">
        <v>1.2010000000000001</v>
      </c>
      <c r="B412" s="52">
        <v>7156.1527999999998</v>
      </c>
      <c r="C412" s="52">
        <v>0</v>
      </c>
      <c r="D412" s="52">
        <v>918.68600000000004</v>
      </c>
      <c r="E412" s="52">
        <v>918.68600000000004</v>
      </c>
      <c r="F412" s="52">
        <v>0</v>
      </c>
      <c r="G412" s="52">
        <v>1224.9147</v>
      </c>
      <c r="H412" s="52">
        <v>612.45740000000001</v>
      </c>
      <c r="I412" s="52">
        <v>1224.9147</v>
      </c>
      <c r="J412" s="52">
        <v>376.08229999999998</v>
      </c>
      <c r="K412" s="52">
        <v>1128.2470000000001</v>
      </c>
      <c r="L412" s="52">
        <v>376.08229999999998</v>
      </c>
      <c r="M412" s="52">
        <v>376.08229999999998</v>
      </c>
      <c r="N412" s="5" t="s">
        <v>69</v>
      </c>
    </row>
    <row r="413" spans="1:14" x14ac:dyDescent="0.25">
      <c r="A413" s="50">
        <v>1.202</v>
      </c>
      <c r="B413" s="52">
        <v>7160.2325000000001</v>
      </c>
      <c r="C413" s="52">
        <v>0</v>
      </c>
      <c r="D413" s="52">
        <v>919.45100000000002</v>
      </c>
      <c r="E413" s="52">
        <v>919.45100000000002</v>
      </c>
      <c r="F413" s="52">
        <v>0</v>
      </c>
      <c r="G413" s="52">
        <v>1225.9346</v>
      </c>
      <c r="H413" s="52">
        <v>612.96730000000002</v>
      </c>
      <c r="I413" s="52">
        <v>1225.9346</v>
      </c>
      <c r="J413" s="52">
        <v>376.08229999999998</v>
      </c>
      <c r="K413" s="52">
        <v>1128.2470000000001</v>
      </c>
      <c r="L413" s="52">
        <v>376.08229999999998</v>
      </c>
      <c r="M413" s="52">
        <v>376.08229999999998</v>
      </c>
      <c r="N413" s="5" t="s">
        <v>69</v>
      </c>
    </row>
    <row r="414" spans="1:14" x14ac:dyDescent="0.25">
      <c r="A414" s="50">
        <v>1.2030000000000001</v>
      </c>
      <c r="B414" s="52">
        <v>7164.3121000000001</v>
      </c>
      <c r="C414" s="52">
        <v>0</v>
      </c>
      <c r="D414" s="52">
        <v>920.21590000000003</v>
      </c>
      <c r="E414" s="52">
        <v>920.21590000000003</v>
      </c>
      <c r="F414" s="52">
        <v>0</v>
      </c>
      <c r="G414" s="52">
        <v>1226.9545000000001</v>
      </c>
      <c r="H414" s="52">
        <v>613.47730000000001</v>
      </c>
      <c r="I414" s="52">
        <v>1226.9545000000001</v>
      </c>
      <c r="J414" s="52">
        <v>376.08229999999998</v>
      </c>
      <c r="K414" s="52">
        <v>1128.2470000000001</v>
      </c>
      <c r="L414" s="52">
        <v>376.08229999999998</v>
      </c>
      <c r="M414" s="52">
        <v>376.08229999999998</v>
      </c>
      <c r="N414" s="5" t="s">
        <v>69</v>
      </c>
    </row>
    <row r="415" spans="1:14" x14ac:dyDescent="0.25">
      <c r="A415" s="50">
        <v>1.204</v>
      </c>
      <c r="B415" s="52">
        <v>7168.3918000000003</v>
      </c>
      <c r="C415" s="52">
        <v>0</v>
      </c>
      <c r="D415" s="52">
        <v>920.98080000000004</v>
      </c>
      <c r="E415" s="52">
        <v>920.98080000000004</v>
      </c>
      <c r="F415" s="52">
        <v>0</v>
      </c>
      <c r="G415" s="52">
        <v>1227.9744000000001</v>
      </c>
      <c r="H415" s="52">
        <v>613.98720000000003</v>
      </c>
      <c r="I415" s="52">
        <v>1227.9744000000001</v>
      </c>
      <c r="J415" s="52">
        <v>376.08229999999998</v>
      </c>
      <c r="K415" s="52">
        <v>1128.2470000000001</v>
      </c>
      <c r="L415" s="52">
        <v>376.08229999999998</v>
      </c>
      <c r="M415" s="52">
        <v>376.08229999999998</v>
      </c>
      <c r="N415" s="5" t="s">
        <v>69</v>
      </c>
    </row>
    <row r="416" spans="1:14" x14ac:dyDescent="0.25">
      <c r="A416" s="50">
        <v>1.2050000000000001</v>
      </c>
      <c r="B416" s="52">
        <v>7172.4714000000004</v>
      </c>
      <c r="C416" s="52">
        <v>0</v>
      </c>
      <c r="D416" s="52">
        <v>921.74580000000003</v>
      </c>
      <c r="E416" s="52">
        <v>921.74580000000003</v>
      </c>
      <c r="F416" s="52">
        <v>0</v>
      </c>
      <c r="G416" s="52">
        <v>1228.9944</v>
      </c>
      <c r="H416" s="52">
        <v>614.49720000000002</v>
      </c>
      <c r="I416" s="52">
        <v>1228.9944</v>
      </c>
      <c r="J416" s="52">
        <v>376.08229999999998</v>
      </c>
      <c r="K416" s="52">
        <v>1128.2470000000001</v>
      </c>
      <c r="L416" s="52">
        <v>376.08229999999998</v>
      </c>
      <c r="M416" s="52">
        <v>376.08229999999998</v>
      </c>
      <c r="N416" s="5" t="s">
        <v>69</v>
      </c>
    </row>
    <row r="417" spans="1:14" x14ac:dyDescent="0.25">
      <c r="A417" s="50">
        <v>1.206</v>
      </c>
      <c r="B417" s="52">
        <v>7176.5510999999997</v>
      </c>
      <c r="C417" s="52">
        <v>0</v>
      </c>
      <c r="D417" s="52">
        <v>922.51070000000004</v>
      </c>
      <c r="E417" s="52">
        <v>922.51070000000004</v>
      </c>
      <c r="F417" s="52">
        <v>0</v>
      </c>
      <c r="G417" s="52">
        <v>1230.0143</v>
      </c>
      <c r="H417" s="52">
        <v>615.00710000000004</v>
      </c>
      <c r="I417" s="52">
        <v>1230.0143</v>
      </c>
      <c r="J417" s="52">
        <v>376.08229999999998</v>
      </c>
      <c r="K417" s="52">
        <v>1128.2470000000001</v>
      </c>
      <c r="L417" s="52">
        <v>376.08229999999998</v>
      </c>
      <c r="M417" s="52">
        <v>376.08229999999998</v>
      </c>
      <c r="N417" s="5" t="s">
        <v>69</v>
      </c>
    </row>
    <row r="418" spans="1:14" x14ac:dyDescent="0.25">
      <c r="A418" s="50">
        <v>1.2070000000000001</v>
      </c>
      <c r="B418" s="52">
        <v>7180.6306999999997</v>
      </c>
      <c r="C418" s="52">
        <v>0</v>
      </c>
      <c r="D418" s="52">
        <v>923.27560000000005</v>
      </c>
      <c r="E418" s="52">
        <v>923.27560000000005</v>
      </c>
      <c r="F418" s="52">
        <v>0</v>
      </c>
      <c r="G418" s="52">
        <v>1231.0342000000001</v>
      </c>
      <c r="H418" s="52">
        <v>615.51710000000003</v>
      </c>
      <c r="I418" s="52">
        <v>1231.0342000000001</v>
      </c>
      <c r="J418" s="52">
        <v>376.08229999999998</v>
      </c>
      <c r="K418" s="52">
        <v>1128.2470000000001</v>
      </c>
      <c r="L418" s="52">
        <v>376.08229999999998</v>
      </c>
      <c r="M418" s="52">
        <v>376.08229999999998</v>
      </c>
      <c r="N418" s="5" t="s">
        <v>69</v>
      </c>
    </row>
    <row r="419" spans="1:14" x14ac:dyDescent="0.25">
      <c r="A419" s="50">
        <v>1.208</v>
      </c>
      <c r="B419" s="52">
        <v>7184.7103999999999</v>
      </c>
      <c r="C419" s="52">
        <v>0</v>
      </c>
      <c r="D419" s="52">
        <v>924.04060000000004</v>
      </c>
      <c r="E419" s="52">
        <v>924.04060000000004</v>
      </c>
      <c r="F419" s="52">
        <v>0</v>
      </c>
      <c r="G419" s="52">
        <v>1232.0541000000001</v>
      </c>
      <c r="H419" s="52">
        <v>616.02700000000004</v>
      </c>
      <c r="I419" s="52">
        <v>1232.0541000000001</v>
      </c>
      <c r="J419" s="52">
        <v>376.08229999999998</v>
      </c>
      <c r="K419" s="52">
        <v>1128.2470000000001</v>
      </c>
      <c r="L419" s="52">
        <v>376.08229999999998</v>
      </c>
      <c r="M419" s="52">
        <v>376.08229999999998</v>
      </c>
      <c r="N419" s="5" t="s">
        <v>69</v>
      </c>
    </row>
    <row r="420" spans="1:14" x14ac:dyDescent="0.25">
      <c r="A420" s="50">
        <v>1.2090000000000001</v>
      </c>
      <c r="B420" s="52">
        <v>7188.79</v>
      </c>
      <c r="C420" s="52">
        <v>0</v>
      </c>
      <c r="D420" s="52">
        <v>924.80550000000005</v>
      </c>
      <c r="E420" s="52">
        <v>924.80550000000005</v>
      </c>
      <c r="F420" s="52">
        <v>0</v>
      </c>
      <c r="G420" s="52">
        <v>1233.0740000000001</v>
      </c>
      <c r="H420" s="52">
        <v>616.53700000000003</v>
      </c>
      <c r="I420" s="52">
        <v>1233.0740000000001</v>
      </c>
      <c r="J420" s="52">
        <v>376.08229999999998</v>
      </c>
      <c r="K420" s="52">
        <v>1128.2470000000001</v>
      </c>
      <c r="L420" s="52">
        <v>376.08229999999998</v>
      </c>
      <c r="M420" s="52">
        <v>376.08229999999998</v>
      </c>
      <c r="N420" s="5" t="s">
        <v>69</v>
      </c>
    </row>
    <row r="421" spans="1:14" x14ac:dyDescent="0.25">
      <c r="A421" s="50">
        <v>1.21</v>
      </c>
      <c r="B421" s="52">
        <v>7192.8697000000002</v>
      </c>
      <c r="C421" s="52">
        <v>0</v>
      </c>
      <c r="D421" s="52">
        <v>925.57039999999995</v>
      </c>
      <c r="E421" s="52">
        <v>925.57039999999995</v>
      </c>
      <c r="F421" s="52">
        <v>0</v>
      </c>
      <c r="G421" s="52">
        <v>1234.0939000000001</v>
      </c>
      <c r="H421" s="52">
        <v>617.04700000000003</v>
      </c>
      <c r="I421" s="52">
        <v>1234.0939000000001</v>
      </c>
      <c r="J421" s="52">
        <v>376.08229999999998</v>
      </c>
      <c r="K421" s="52">
        <v>1128.2470000000001</v>
      </c>
      <c r="L421" s="52">
        <v>376.08229999999998</v>
      </c>
      <c r="M421" s="52">
        <v>376.08229999999998</v>
      </c>
      <c r="N421" s="5" t="s">
        <v>69</v>
      </c>
    </row>
    <row r="422" spans="1:14" x14ac:dyDescent="0.25">
      <c r="A422" s="50">
        <v>1.2110000000000001</v>
      </c>
      <c r="B422" s="52">
        <v>7196.9493000000002</v>
      </c>
      <c r="C422" s="52">
        <v>0</v>
      </c>
      <c r="D422" s="52">
        <v>926.33540000000005</v>
      </c>
      <c r="E422" s="52">
        <v>926.33540000000005</v>
      </c>
      <c r="F422" s="52">
        <v>0</v>
      </c>
      <c r="G422" s="52">
        <v>1235.1138000000001</v>
      </c>
      <c r="H422" s="52">
        <v>617.55690000000004</v>
      </c>
      <c r="I422" s="52">
        <v>1235.1138000000001</v>
      </c>
      <c r="J422" s="52">
        <v>376.08229999999998</v>
      </c>
      <c r="K422" s="52">
        <v>1128.2470000000001</v>
      </c>
      <c r="L422" s="52">
        <v>376.08229999999998</v>
      </c>
      <c r="M422" s="52">
        <v>376.08229999999998</v>
      </c>
      <c r="N422" s="5" t="s">
        <v>69</v>
      </c>
    </row>
    <row r="423" spans="1:14" x14ac:dyDescent="0.25">
      <c r="A423" s="50">
        <v>1.212</v>
      </c>
      <c r="B423" s="52">
        <v>7201.0290000000005</v>
      </c>
      <c r="C423" s="52">
        <v>0</v>
      </c>
      <c r="D423" s="52">
        <v>927.10029999999995</v>
      </c>
      <c r="E423" s="52">
        <v>927.10029999999995</v>
      </c>
      <c r="F423" s="52">
        <v>0</v>
      </c>
      <c r="G423" s="52">
        <v>1236.1337000000001</v>
      </c>
      <c r="H423" s="52">
        <v>618.06690000000003</v>
      </c>
      <c r="I423" s="52">
        <v>1236.1337000000001</v>
      </c>
      <c r="J423" s="52">
        <v>376.08229999999998</v>
      </c>
      <c r="K423" s="52">
        <v>1128.2470000000001</v>
      </c>
      <c r="L423" s="52">
        <v>376.08229999999998</v>
      </c>
      <c r="M423" s="52">
        <v>376.08229999999998</v>
      </c>
      <c r="N423" s="5" t="s">
        <v>69</v>
      </c>
    </row>
    <row r="424" spans="1:14" x14ac:dyDescent="0.25">
      <c r="A424" s="50">
        <v>1.2130000000000001</v>
      </c>
      <c r="B424" s="52">
        <v>7205.1085999999996</v>
      </c>
      <c r="C424" s="52">
        <v>0</v>
      </c>
      <c r="D424" s="52">
        <v>927.86519999999996</v>
      </c>
      <c r="E424" s="52">
        <v>927.86519999999996</v>
      </c>
      <c r="F424" s="52">
        <v>0</v>
      </c>
      <c r="G424" s="52">
        <v>1237.1537000000001</v>
      </c>
      <c r="H424" s="52">
        <v>618.57680000000005</v>
      </c>
      <c r="I424" s="52">
        <v>1237.1537000000001</v>
      </c>
      <c r="J424" s="52">
        <v>376.08229999999998</v>
      </c>
      <c r="K424" s="52">
        <v>1128.2470000000001</v>
      </c>
      <c r="L424" s="52">
        <v>376.08229999999998</v>
      </c>
      <c r="M424" s="52">
        <v>376.08229999999998</v>
      </c>
      <c r="N424" s="5" t="s">
        <v>69</v>
      </c>
    </row>
    <row r="425" spans="1:14" x14ac:dyDescent="0.25">
      <c r="A425" s="50">
        <v>1.214</v>
      </c>
      <c r="B425" s="52">
        <v>7209.1882999999998</v>
      </c>
      <c r="C425" s="52">
        <v>0</v>
      </c>
      <c r="D425" s="52">
        <v>928.63019999999995</v>
      </c>
      <c r="E425" s="52">
        <v>928.63019999999995</v>
      </c>
      <c r="F425" s="52">
        <v>0</v>
      </c>
      <c r="G425" s="52">
        <v>1238.1736000000001</v>
      </c>
      <c r="H425" s="52">
        <v>619.08680000000004</v>
      </c>
      <c r="I425" s="52">
        <v>1238.1736000000001</v>
      </c>
      <c r="J425" s="52">
        <v>376.08229999999998</v>
      </c>
      <c r="K425" s="52">
        <v>1128.2470000000001</v>
      </c>
      <c r="L425" s="52">
        <v>376.08229999999998</v>
      </c>
      <c r="M425" s="52">
        <v>376.08229999999998</v>
      </c>
      <c r="N425" s="5" t="s">
        <v>69</v>
      </c>
    </row>
    <row r="426" spans="1:14" x14ac:dyDescent="0.25">
      <c r="A426" s="50">
        <v>1.2150000000000001</v>
      </c>
      <c r="B426" s="52">
        <v>7213.2678999999998</v>
      </c>
      <c r="C426" s="52">
        <v>0</v>
      </c>
      <c r="D426" s="52">
        <v>929.39509999999996</v>
      </c>
      <c r="E426" s="52">
        <v>929.39509999999996</v>
      </c>
      <c r="F426" s="52">
        <v>0</v>
      </c>
      <c r="G426" s="52">
        <v>1239.1935000000001</v>
      </c>
      <c r="H426" s="52">
        <v>619.59670000000006</v>
      </c>
      <c r="I426" s="52">
        <v>1239.1935000000001</v>
      </c>
      <c r="J426" s="52">
        <v>376.08229999999998</v>
      </c>
      <c r="K426" s="52">
        <v>1128.2470000000001</v>
      </c>
      <c r="L426" s="52">
        <v>376.08229999999998</v>
      </c>
      <c r="M426" s="52">
        <v>376.08229999999998</v>
      </c>
      <c r="N426" s="5" t="s">
        <v>69</v>
      </c>
    </row>
    <row r="427" spans="1:14" x14ac:dyDescent="0.25">
      <c r="A427" s="50">
        <v>1.216</v>
      </c>
      <c r="B427" s="52">
        <v>7217.3476000000001</v>
      </c>
      <c r="C427" s="52">
        <v>0</v>
      </c>
      <c r="D427" s="52">
        <v>930.16</v>
      </c>
      <c r="E427" s="52">
        <v>930.16</v>
      </c>
      <c r="F427" s="52">
        <v>0</v>
      </c>
      <c r="G427" s="52">
        <v>1240.2134000000001</v>
      </c>
      <c r="H427" s="52">
        <v>620.10670000000005</v>
      </c>
      <c r="I427" s="52">
        <v>1240.2134000000001</v>
      </c>
      <c r="J427" s="52">
        <v>376.08229999999998</v>
      </c>
      <c r="K427" s="52">
        <v>1128.2470000000001</v>
      </c>
      <c r="L427" s="52">
        <v>376.08229999999998</v>
      </c>
      <c r="M427" s="52">
        <v>376.08229999999998</v>
      </c>
      <c r="N427" s="5" t="s">
        <v>69</v>
      </c>
    </row>
    <row r="428" spans="1:14" x14ac:dyDescent="0.25">
      <c r="A428" s="50">
        <v>1.2170000000000001</v>
      </c>
      <c r="B428" s="52">
        <v>7221.4272000000001</v>
      </c>
      <c r="C428" s="52">
        <v>0</v>
      </c>
      <c r="D428" s="52">
        <v>930.92499999999995</v>
      </c>
      <c r="E428" s="52">
        <v>930.92499999999995</v>
      </c>
      <c r="F428" s="52">
        <v>0</v>
      </c>
      <c r="G428" s="52">
        <v>1241.2333000000001</v>
      </c>
      <c r="H428" s="52">
        <v>620.61670000000004</v>
      </c>
      <c r="I428" s="52">
        <v>1241.2333000000001</v>
      </c>
      <c r="J428" s="52">
        <v>376.08229999999998</v>
      </c>
      <c r="K428" s="52">
        <v>1128.2470000000001</v>
      </c>
      <c r="L428" s="52">
        <v>376.08229999999998</v>
      </c>
      <c r="M428" s="52">
        <v>376.08229999999998</v>
      </c>
      <c r="N428" s="5" t="s">
        <v>69</v>
      </c>
    </row>
    <row r="429" spans="1:14" x14ac:dyDescent="0.25">
      <c r="A429" s="50">
        <v>1.218</v>
      </c>
      <c r="B429" s="52">
        <v>7225.5069000000003</v>
      </c>
      <c r="C429" s="52">
        <v>0</v>
      </c>
      <c r="D429" s="52">
        <v>931.68989999999997</v>
      </c>
      <c r="E429" s="52">
        <v>931.68989999999997</v>
      </c>
      <c r="F429" s="52">
        <v>0</v>
      </c>
      <c r="G429" s="52">
        <v>1242.2532000000001</v>
      </c>
      <c r="H429" s="52">
        <v>621.12660000000005</v>
      </c>
      <c r="I429" s="52">
        <v>1242.2532000000001</v>
      </c>
      <c r="J429" s="52">
        <v>376.08229999999998</v>
      </c>
      <c r="K429" s="52">
        <v>1128.2470000000001</v>
      </c>
      <c r="L429" s="52">
        <v>376.08229999999998</v>
      </c>
      <c r="M429" s="52">
        <v>376.08229999999998</v>
      </c>
      <c r="N429" s="5" t="s">
        <v>69</v>
      </c>
    </row>
    <row r="430" spans="1:14" x14ac:dyDescent="0.25">
      <c r="A430" s="50">
        <v>1.2190000000000001</v>
      </c>
      <c r="B430" s="52">
        <v>7229.5865000000003</v>
      </c>
      <c r="C430" s="52">
        <v>0</v>
      </c>
      <c r="D430" s="52">
        <v>932.45479999999998</v>
      </c>
      <c r="E430" s="52">
        <v>932.45479999999998</v>
      </c>
      <c r="F430" s="52">
        <v>0</v>
      </c>
      <c r="G430" s="52">
        <v>1243.2731000000001</v>
      </c>
      <c r="H430" s="52">
        <v>621.63660000000004</v>
      </c>
      <c r="I430" s="52">
        <v>1243.2731000000001</v>
      </c>
      <c r="J430" s="52">
        <v>376.08229999999998</v>
      </c>
      <c r="K430" s="52">
        <v>1128.2470000000001</v>
      </c>
      <c r="L430" s="52">
        <v>376.08229999999998</v>
      </c>
      <c r="M430" s="52">
        <v>376.08229999999998</v>
      </c>
      <c r="N430" s="5" t="s">
        <v>69</v>
      </c>
    </row>
    <row r="431" spans="1:14" x14ac:dyDescent="0.25">
      <c r="A431" s="50">
        <v>1.22</v>
      </c>
      <c r="B431" s="52">
        <v>7233.6661999999997</v>
      </c>
      <c r="C431" s="52">
        <v>0</v>
      </c>
      <c r="D431" s="52">
        <v>933.21979999999996</v>
      </c>
      <c r="E431" s="52">
        <v>933.21979999999996</v>
      </c>
      <c r="F431" s="52">
        <v>0</v>
      </c>
      <c r="G431" s="52">
        <v>1244.2929999999999</v>
      </c>
      <c r="H431" s="52">
        <v>622.14649999999995</v>
      </c>
      <c r="I431" s="52">
        <v>1244.2929999999999</v>
      </c>
      <c r="J431" s="52">
        <v>376.08229999999998</v>
      </c>
      <c r="K431" s="52">
        <v>1128.2470000000001</v>
      </c>
      <c r="L431" s="52">
        <v>376.08229999999998</v>
      </c>
      <c r="M431" s="52">
        <v>376.08229999999998</v>
      </c>
      <c r="N431" s="5" t="s">
        <v>69</v>
      </c>
    </row>
    <row r="432" spans="1:14" x14ac:dyDescent="0.25">
      <c r="A432" s="50">
        <v>1.2210000000000001</v>
      </c>
      <c r="B432" s="52">
        <v>7237.7457999999997</v>
      </c>
      <c r="C432" s="52">
        <v>0</v>
      </c>
      <c r="D432" s="52">
        <v>933.98469999999998</v>
      </c>
      <c r="E432" s="52">
        <v>933.98469999999998</v>
      </c>
      <c r="F432" s="52">
        <v>0</v>
      </c>
      <c r="G432" s="52">
        <v>1245.3130000000001</v>
      </c>
      <c r="H432" s="52">
        <v>622.65650000000005</v>
      </c>
      <c r="I432" s="52">
        <v>1245.3130000000001</v>
      </c>
      <c r="J432" s="52">
        <v>376.08229999999998</v>
      </c>
      <c r="K432" s="52">
        <v>1128.2470000000001</v>
      </c>
      <c r="L432" s="52">
        <v>376.08229999999998</v>
      </c>
      <c r="M432" s="52">
        <v>376.08229999999998</v>
      </c>
      <c r="N432" s="5" t="s">
        <v>69</v>
      </c>
    </row>
    <row r="433" spans="1:14" x14ac:dyDescent="0.25">
      <c r="A433" s="50">
        <v>1.222</v>
      </c>
      <c r="B433" s="52">
        <v>7241.8254999999999</v>
      </c>
      <c r="C433" s="52">
        <v>0</v>
      </c>
      <c r="D433" s="52">
        <v>934.74959999999999</v>
      </c>
      <c r="E433" s="52">
        <v>934.74959999999999</v>
      </c>
      <c r="F433" s="52">
        <v>0</v>
      </c>
      <c r="G433" s="52">
        <v>1246.3329000000001</v>
      </c>
      <c r="H433" s="52">
        <v>623.16639999999995</v>
      </c>
      <c r="I433" s="52">
        <v>1246.3329000000001</v>
      </c>
      <c r="J433" s="52">
        <v>376.08229999999998</v>
      </c>
      <c r="K433" s="52">
        <v>1128.2470000000001</v>
      </c>
      <c r="L433" s="52">
        <v>376.08229999999998</v>
      </c>
      <c r="M433" s="52">
        <v>376.08229999999998</v>
      </c>
      <c r="N433" s="5" t="s">
        <v>69</v>
      </c>
    </row>
    <row r="434" spans="1:14" x14ac:dyDescent="0.25">
      <c r="A434" s="50">
        <v>1.2230000000000001</v>
      </c>
      <c r="B434" s="52">
        <v>7245.9050999999999</v>
      </c>
      <c r="C434" s="52">
        <v>0</v>
      </c>
      <c r="D434" s="52">
        <v>935.51459999999997</v>
      </c>
      <c r="E434" s="52">
        <v>935.51459999999997</v>
      </c>
      <c r="F434" s="52">
        <v>0</v>
      </c>
      <c r="G434" s="52">
        <v>1247.3527999999999</v>
      </c>
      <c r="H434" s="52">
        <v>623.67639999999994</v>
      </c>
      <c r="I434" s="52">
        <v>1247.3527999999999</v>
      </c>
      <c r="J434" s="52">
        <v>376.08229999999998</v>
      </c>
      <c r="K434" s="52">
        <v>1128.2470000000001</v>
      </c>
      <c r="L434" s="52">
        <v>376.08229999999998</v>
      </c>
      <c r="M434" s="52">
        <v>376.08229999999998</v>
      </c>
      <c r="N434" s="5" t="s">
        <v>69</v>
      </c>
    </row>
    <row r="435" spans="1:14" x14ac:dyDescent="0.25">
      <c r="A435" s="50">
        <v>1.224</v>
      </c>
      <c r="B435" s="52">
        <v>7249.9848000000002</v>
      </c>
      <c r="C435" s="52">
        <v>0</v>
      </c>
      <c r="D435" s="52">
        <v>936.27949999999998</v>
      </c>
      <c r="E435" s="52">
        <v>936.27949999999998</v>
      </c>
      <c r="F435" s="52">
        <v>0</v>
      </c>
      <c r="G435" s="52">
        <v>1248.3726999999999</v>
      </c>
      <c r="H435" s="52">
        <v>624.18629999999996</v>
      </c>
      <c r="I435" s="52">
        <v>1248.3726999999999</v>
      </c>
      <c r="J435" s="52">
        <v>376.08229999999998</v>
      </c>
      <c r="K435" s="52">
        <v>1128.2470000000001</v>
      </c>
      <c r="L435" s="52">
        <v>376.08229999999998</v>
      </c>
      <c r="M435" s="52">
        <v>376.08229999999998</v>
      </c>
      <c r="N435" s="5" t="s">
        <v>69</v>
      </c>
    </row>
    <row r="436" spans="1:14" x14ac:dyDescent="0.25">
      <c r="A436" s="50">
        <v>1.2250000000000001</v>
      </c>
      <c r="B436" s="52">
        <v>7254.0644000000002</v>
      </c>
      <c r="C436" s="52">
        <v>0</v>
      </c>
      <c r="D436" s="52">
        <v>937.04449999999997</v>
      </c>
      <c r="E436" s="52">
        <v>937.04449999999997</v>
      </c>
      <c r="F436" s="52">
        <v>0</v>
      </c>
      <c r="G436" s="52">
        <v>1249.3925999999999</v>
      </c>
      <c r="H436" s="52">
        <v>624.69629999999995</v>
      </c>
      <c r="I436" s="52">
        <v>1249.3925999999999</v>
      </c>
      <c r="J436" s="52">
        <v>376.08229999999998</v>
      </c>
      <c r="K436" s="52">
        <v>1128.2470000000001</v>
      </c>
      <c r="L436" s="52">
        <v>376.08229999999998</v>
      </c>
      <c r="M436" s="52">
        <v>376.08229999999998</v>
      </c>
      <c r="N436" s="5" t="s">
        <v>69</v>
      </c>
    </row>
    <row r="437" spans="1:14" x14ac:dyDescent="0.25">
      <c r="A437" s="50">
        <v>1.226</v>
      </c>
      <c r="B437" s="52">
        <v>7258.1441000000004</v>
      </c>
      <c r="C437" s="52">
        <v>0</v>
      </c>
      <c r="D437" s="52">
        <v>937.80939999999998</v>
      </c>
      <c r="E437" s="52">
        <v>937.80939999999998</v>
      </c>
      <c r="F437" s="52">
        <v>0</v>
      </c>
      <c r="G437" s="52">
        <v>1250.4124999999999</v>
      </c>
      <c r="H437" s="52">
        <v>625.20630000000006</v>
      </c>
      <c r="I437" s="52">
        <v>1250.4124999999999</v>
      </c>
      <c r="J437" s="52">
        <v>376.08229999999998</v>
      </c>
      <c r="K437" s="52">
        <v>1128.2470000000001</v>
      </c>
      <c r="L437" s="52">
        <v>376.08229999999998</v>
      </c>
      <c r="M437" s="52">
        <v>376.08229999999998</v>
      </c>
      <c r="N437" s="5" t="s">
        <v>69</v>
      </c>
    </row>
    <row r="438" spans="1:14" x14ac:dyDescent="0.25">
      <c r="A438" s="50">
        <v>1.2270000000000001</v>
      </c>
      <c r="B438" s="52">
        <v>7262.2236999999996</v>
      </c>
      <c r="C438" s="52">
        <v>0</v>
      </c>
      <c r="D438" s="52">
        <v>938.57429999999999</v>
      </c>
      <c r="E438" s="52">
        <v>938.57429999999999</v>
      </c>
      <c r="F438" s="52">
        <v>0</v>
      </c>
      <c r="G438" s="52">
        <v>1251.4323999999999</v>
      </c>
      <c r="H438" s="52">
        <v>625.71619999999996</v>
      </c>
      <c r="I438" s="52">
        <v>1251.4323999999999</v>
      </c>
      <c r="J438" s="52">
        <v>376.08229999999998</v>
      </c>
      <c r="K438" s="52">
        <v>1128.2470000000001</v>
      </c>
      <c r="L438" s="52">
        <v>376.08229999999998</v>
      </c>
      <c r="M438" s="52">
        <v>376.08229999999998</v>
      </c>
      <c r="N438" s="5" t="s">
        <v>69</v>
      </c>
    </row>
    <row r="439" spans="1:14" x14ac:dyDescent="0.25">
      <c r="A439" s="50">
        <v>1.228</v>
      </c>
      <c r="B439" s="52">
        <v>7266.3033999999998</v>
      </c>
      <c r="C439" s="52">
        <v>0</v>
      </c>
      <c r="D439" s="52">
        <v>939.33929999999998</v>
      </c>
      <c r="E439" s="52">
        <v>939.33929999999998</v>
      </c>
      <c r="F439" s="52">
        <v>0</v>
      </c>
      <c r="G439" s="52">
        <v>1252.4522999999999</v>
      </c>
      <c r="H439" s="52">
        <v>626.22619999999995</v>
      </c>
      <c r="I439" s="52">
        <v>1252.4522999999999</v>
      </c>
      <c r="J439" s="52">
        <v>376.08229999999998</v>
      </c>
      <c r="K439" s="52">
        <v>1128.2470000000001</v>
      </c>
      <c r="L439" s="52">
        <v>376.08229999999998</v>
      </c>
      <c r="M439" s="52">
        <v>376.08229999999998</v>
      </c>
      <c r="N439" s="5" t="s">
        <v>69</v>
      </c>
    </row>
    <row r="440" spans="1:14" x14ac:dyDescent="0.25">
      <c r="A440" s="50">
        <v>1.2290000000000001</v>
      </c>
      <c r="B440" s="52">
        <v>7270.3829999999998</v>
      </c>
      <c r="C440" s="52">
        <v>0</v>
      </c>
      <c r="D440" s="52">
        <v>940.10419999999999</v>
      </c>
      <c r="E440" s="52">
        <v>940.10419999999999</v>
      </c>
      <c r="F440" s="52">
        <v>0</v>
      </c>
      <c r="G440" s="52">
        <v>1253.4722999999999</v>
      </c>
      <c r="H440" s="52">
        <v>626.73609999999996</v>
      </c>
      <c r="I440" s="52">
        <v>1253.4722999999999</v>
      </c>
      <c r="J440" s="52">
        <v>376.08229999999998</v>
      </c>
      <c r="K440" s="52">
        <v>1128.2470000000001</v>
      </c>
      <c r="L440" s="52">
        <v>376.08229999999998</v>
      </c>
      <c r="M440" s="52">
        <v>376.08229999999998</v>
      </c>
      <c r="N440" s="5" t="s">
        <v>69</v>
      </c>
    </row>
    <row r="441" spans="1:14" x14ac:dyDescent="0.25">
      <c r="A441" s="50">
        <v>1.23</v>
      </c>
      <c r="B441" s="52">
        <v>7274.4627</v>
      </c>
      <c r="C441" s="52">
        <v>0</v>
      </c>
      <c r="D441" s="52">
        <v>940.8691</v>
      </c>
      <c r="E441" s="52">
        <v>940.8691</v>
      </c>
      <c r="F441" s="52">
        <v>0</v>
      </c>
      <c r="G441" s="52">
        <v>1254.4921999999999</v>
      </c>
      <c r="H441" s="52">
        <v>627.24609999999996</v>
      </c>
      <c r="I441" s="52">
        <v>1254.4921999999999</v>
      </c>
      <c r="J441" s="52">
        <v>376.08229999999998</v>
      </c>
      <c r="K441" s="52">
        <v>1128.2470000000001</v>
      </c>
      <c r="L441" s="52">
        <v>376.08229999999998</v>
      </c>
      <c r="M441" s="52">
        <v>376.08229999999998</v>
      </c>
      <c r="N441" s="5" t="s">
        <v>69</v>
      </c>
    </row>
    <row r="442" spans="1:14" x14ac:dyDescent="0.25">
      <c r="A442" s="50">
        <v>1.2310000000000001</v>
      </c>
      <c r="B442" s="52">
        <v>7278.5423000000001</v>
      </c>
      <c r="C442" s="52">
        <v>0</v>
      </c>
      <c r="D442" s="52">
        <v>941.63409999999999</v>
      </c>
      <c r="E442" s="52">
        <v>941.63409999999999</v>
      </c>
      <c r="F442" s="52">
        <v>0</v>
      </c>
      <c r="G442" s="52">
        <v>1255.5120999999999</v>
      </c>
      <c r="H442" s="52">
        <v>627.75599999999997</v>
      </c>
      <c r="I442" s="52">
        <v>1255.5120999999999</v>
      </c>
      <c r="J442" s="52">
        <v>376.08229999999998</v>
      </c>
      <c r="K442" s="52">
        <v>1128.2470000000001</v>
      </c>
      <c r="L442" s="52">
        <v>376.08229999999998</v>
      </c>
      <c r="M442" s="52">
        <v>376.08229999999998</v>
      </c>
      <c r="N442" s="5" t="s">
        <v>69</v>
      </c>
    </row>
    <row r="443" spans="1:14" x14ac:dyDescent="0.25">
      <c r="A443" s="50">
        <v>1.232</v>
      </c>
      <c r="B443" s="52">
        <v>7282.6220000000003</v>
      </c>
      <c r="C443" s="52">
        <v>0</v>
      </c>
      <c r="D443" s="52">
        <v>942.399</v>
      </c>
      <c r="E443" s="52">
        <v>942.399</v>
      </c>
      <c r="F443" s="52">
        <v>0</v>
      </c>
      <c r="G443" s="52">
        <v>1256.5319999999999</v>
      </c>
      <c r="H443" s="52">
        <v>628.26599999999996</v>
      </c>
      <c r="I443" s="52">
        <v>1256.5319999999999</v>
      </c>
      <c r="J443" s="52">
        <v>376.08229999999998</v>
      </c>
      <c r="K443" s="52">
        <v>1128.2470000000001</v>
      </c>
      <c r="L443" s="52">
        <v>376.08229999999998</v>
      </c>
      <c r="M443" s="52">
        <v>376.08229999999998</v>
      </c>
      <c r="N443" s="5" t="s">
        <v>69</v>
      </c>
    </row>
    <row r="444" spans="1:14" x14ac:dyDescent="0.25">
      <c r="A444" s="50">
        <v>1.2330000000000001</v>
      </c>
      <c r="B444" s="52">
        <v>7286.7016000000003</v>
      </c>
      <c r="C444" s="52">
        <v>0</v>
      </c>
      <c r="D444" s="52">
        <v>943.16390000000001</v>
      </c>
      <c r="E444" s="52">
        <v>943.16390000000001</v>
      </c>
      <c r="F444" s="52">
        <v>0</v>
      </c>
      <c r="G444" s="52">
        <v>1257.5518999999999</v>
      </c>
      <c r="H444" s="52">
        <v>628.77599999999995</v>
      </c>
      <c r="I444" s="52">
        <v>1257.5518999999999</v>
      </c>
      <c r="J444" s="52">
        <v>376.08229999999998</v>
      </c>
      <c r="K444" s="52">
        <v>1128.2470000000001</v>
      </c>
      <c r="L444" s="52">
        <v>376.08229999999998</v>
      </c>
      <c r="M444" s="52">
        <v>376.08229999999998</v>
      </c>
      <c r="N444" s="5" t="s">
        <v>69</v>
      </c>
    </row>
    <row r="445" spans="1:14" x14ac:dyDescent="0.25">
      <c r="A445" s="50">
        <v>1.234</v>
      </c>
      <c r="B445" s="52">
        <v>7290.7812000000004</v>
      </c>
      <c r="C445" s="52">
        <v>0</v>
      </c>
      <c r="D445" s="52">
        <v>943.9289</v>
      </c>
      <c r="E445" s="52">
        <v>943.9289</v>
      </c>
      <c r="F445" s="52">
        <v>0</v>
      </c>
      <c r="G445" s="52">
        <v>1258.5717999999999</v>
      </c>
      <c r="H445" s="52">
        <v>629.28589999999997</v>
      </c>
      <c r="I445" s="52">
        <v>1258.5717999999999</v>
      </c>
      <c r="J445" s="52">
        <v>376.08229999999998</v>
      </c>
      <c r="K445" s="52">
        <v>1128.2470000000001</v>
      </c>
      <c r="L445" s="52">
        <v>376.08229999999998</v>
      </c>
      <c r="M445" s="52">
        <v>376.08229999999998</v>
      </c>
      <c r="N445" s="5" t="s">
        <v>69</v>
      </c>
    </row>
    <row r="446" spans="1:14" x14ac:dyDescent="0.25">
      <c r="A446" s="50">
        <v>1.2350000000000001</v>
      </c>
      <c r="B446" s="52">
        <v>7294.8608999999997</v>
      </c>
      <c r="C446" s="52">
        <v>0</v>
      </c>
      <c r="D446" s="52">
        <v>944.69380000000001</v>
      </c>
      <c r="E446" s="52">
        <v>944.69380000000001</v>
      </c>
      <c r="F446" s="52">
        <v>0</v>
      </c>
      <c r="G446" s="52">
        <v>1259.5916999999999</v>
      </c>
      <c r="H446" s="52">
        <v>629.79589999999996</v>
      </c>
      <c r="I446" s="52">
        <v>1259.5916999999999</v>
      </c>
      <c r="J446" s="52">
        <v>376.08229999999998</v>
      </c>
      <c r="K446" s="52">
        <v>1128.2470000000001</v>
      </c>
      <c r="L446" s="52">
        <v>376.08229999999998</v>
      </c>
      <c r="M446" s="52">
        <v>376.08229999999998</v>
      </c>
      <c r="N446" s="5" t="s">
        <v>69</v>
      </c>
    </row>
    <row r="447" spans="1:14" x14ac:dyDescent="0.25">
      <c r="A447" s="50">
        <v>1.236</v>
      </c>
      <c r="B447" s="52">
        <v>7298.9404999999997</v>
      </c>
      <c r="C447" s="52">
        <v>0</v>
      </c>
      <c r="D447" s="52">
        <v>945.45870000000002</v>
      </c>
      <c r="E447" s="52">
        <v>945.45870000000002</v>
      </c>
      <c r="F447" s="52">
        <v>0</v>
      </c>
      <c r="G447" s="52">
        <v>1260.6116</v>
      </c>
      <c r="H447" s="52">
        <v>630.30579999999998</v>
      </c>
      <c r="I447" s="52">
        <v>1260.6116</v>
      </c>
      <c r="J447" s="52">
        <v>376.08229999999998</v>
      </c>
      <c r="K447" s="52">
        <v>1128.2470000000001</v>
      </c>
      <c r="L447" s="52">
        <v>376.08229999999998</v>
      </c>
      <c r="M447" s="52">
        <v>376.08229999999998</v>
      </c>
      <c r="N447" s="5" t="s">
        <v>69</v>
      </c>
    </row>
    <row r="448" spans="1:14" x14ac:dyDescent="0.25">
      <c r="A448" s="50">
        <v>1.2370000000000001</v>
      </c>
      <c r="B448" s="52">
        <v>7303.0201999999999</v>
      </c>
      <c r="C448" s="52">
        <v>0</v>
      </c>
      <c r="D448" s="52">
        <v>946.22370000000001</v>
      </c>
      <c r="E448" s="52">
        <v>946.22370000000001</v>
      </c>
      <c r="F448" s="52">
        <v>0</v>
      </c>
      <c r="G448" s="52">
        <v>1261.6315999999999</v>
      </c>
      <c r="H448" s="52">
        <v>630.81579999999997</v>
      </c>
      <c r="I448" s="52">
        <v>1261.6315999999999</v>
      </c>
      <c r="J448" s="52">
        <v>376.08229999999998</v>
      </c>
      <c r="K448" s="52">
        <v>1128.2470000000001</v>
      </c>
      <c r="L448" s="52">
        <v>376.08229999999998</v>
      </c>
      <c r="M448" s="52">
        <v>376.08229999999998</v>
      </c>
      <c r="N448" s="5" t="s">
        <v>69</v>
      </c>
    </row>
    <row r="449" spans="1:14" x14ac:dyDescent="0.25">
      <c r="A449" s="50">
        <v>1.238</v>
      </c>
      <c r="B449" s="52">
        <v>7307.0998</v>
      </c>
      <c r="C449" s="52">
        <v>0</v>
      </c>
      <c r="D449" s="52">
        <v>946.98860000000002</v>
      </c>
      <c r="E449" s="52">
        <v>946.98860000000002</v>
      </c>
      <c r="F449" s="52">
        <v>0</v>
      </c>
      <c r="G449" s="52">
        <v>1262.6514999999999</v>
      </c>
      <c r="H449" s="52">
        <v>631.32569999999998</v>
      </c>
      <c r="I449" s="52">
        <v>1262.6514999999999</v>
      </c>
      <c r="J449" s="52">
        <v>376.08229999999998</v>
      </c>
      <c r="K449" s="52">
        <v>1128.2470000000001</v>
      </c>
      <c r="L449" s="52">
        <v>376.08229999999998</v>
      </c>
      <c r="M449" s="52">
        <v>376.08229999999998</v>
      </c>
      <c r="N449" s="5" t="s">
        <v>69</v>
      </c>
    </row>
    <row r="450" spans="1:14" x14ac:dyDescent="0.25">
      <c r="A450" s="50">
        <v>1.2390000000000001</v>
      </c>
      <c r="B450" s="52">
        <v>7311.1795000000002</v>
      </c>
      <c r="C450" s="52">
        <v>0</v>
      </c>
      <c r="D450" s="52">
        <v>947.75350000000003</v>
      </c>
      <c r="E450" s="52">
        <v>947.75350000000003</v>
      </c>
      <c r="F450" s="52">
        <v>0</v>
      </c>
      <c r="G450" s="52">
        <v>1263.6713999999999</v>
      </c>
      <c r="H450" s="52">
        <v>631.83569999999997</v>
      </c>
      <c r="I450" s="52">
        <v>1263.6713999999999</v>
      </c>
      <c r="J450" s="52">
        <v>376.08229999999998</v>
      </c>
      <c r="K450" s="52">
        <v>1128.2470000000001</v>
      </c>
      <c r="L450" s="52">
        <v>376.08229999999998</v>
      </c>
      <c r="M450" s="52">
        <v>376.08229999999998</v>
      </c>
      <c r="N450" s="5" t="s">
        <v>69</v>
      </c>
    </row>
    <row r="451" spans="1:14" x14ac:dyDescent="0.25">
      <c r="A451" s="50">
        <v>1.24</v>
      </c>
      <c r="B451" s="52">
        <v>7315.2591000000002</v>
      </c>
      <c r="C451" s="52">
        <v>0</v>
      </c>
      <c r="D451" s="52">
        <v>948.51850000000002</v>
      </c>
      <c r="E451" s="52">
        <v>948.51850000000002</v>
      </c>
      <c r="F451" s="52">
        <v>0</v>
      </c>
      <c r="G451" s="52">
        <v>1264.6913</v>
      </c>
      <c r="H451" s="52">
        <v>632.34559999999999</v>
      </c>
      <c r="I451" s="52">
        <v>1264.6913</v>
      </c>
      <c r="J451" s="52">
        <v>376.08229999999998</v>
      </c>
      <c r="K451" s="52">
        <v>1128.2470000000001</v>
      </c>
      <c r="L451" s="52">
        <v>376.08229999999998</v>
      </c>
      <c r="M451" s="52">
        <v>376.08229999999998</v>
      </c>
      <c r="N451" s="5" t="s">
        <v>69</v>
      </c>
    </row>
    <row r="452" spans="1:14" x14ac:dyDescent="0.25">
      <c r="A452" s="50">
        <v>1.2410000000000001</v>
      </c>
      <c r="B452" s="52">
        <v>7319.3388000000004</v>
      </c>
      <c r="C452" s="52">
        <v>0</v>
      </c>
      <c r="D452" s="52">
        <v>949.28340000000003</v>
      </c>
      <c r="E452" s="52">
        <v>949.28340000000003</v>
      </c>
      <c r="F452" s="52">
        <v>0</v>
      </c>
      <c r="G452" s="52">
        <v>1265.7112</v>
      </c>
      <c r="H452" s="52">
        <v>632.85559999999998</v>
      </c>
      <c r="I452" s="52">
        <v>1265.7112</v>
      </c>
      <c r="J452" s="52">
        <v>376.08229999999998</v>
      </c>
      <c r="K452" s="52">
        <v>1128.2470000000001</v>
      </c>
      <c r="L452" s="52">
        <v>376.08229999999998</v>
      </c>
      <c r="M452" s="52">
        <v>376.08229999999998</v>
      </c>
      <c r="N452" s="5" t="s">
        <v>69</v>
      </c>
    </row>
    <row r="453" spans="1:14" x14ac:dyDescent="0.25">
      <c r="A453" s="50">
        <v>1.242</v>
      </c>
      <c r="B453" s="52">
        <v>7323.4183999999996</v>
      </c>
      <c r="C453" s="52">
        <v>0</v>
      </c>
      <c r="D453" s="52">
        <v>950.04830000000004</v>
      </c>
      <c r="E453" s="52">
        <v>950.04830000000004</v>
      </c>
      <c r="F453" s="52">
        <v>0</v>
      </c>
      <c r="G453" s="52">
        <v>1266.7311</v>
      </c>
      <c r="H453" s="52">
        <v>633.36559999999997</v>
      </c>
      <c r="I453" s="52">
        <v>1266.7311</v>
      </c>
      <c r="J453" s="52">
        <v>376.08229999999998</v>
      </c>
      <c r="K453" s="52">
        <v>1128.2470000000001</v>
      </c>
      <c r="L453" s="52">
        <v>376.08229999999998</v>
      </c>
      <c r="M453" s="52">
        <v>376.08229999999998</v>
      </c>
      <c r="N453" s="5" t="s">
        <v>69</v>
      </c>
    </row>
    <row r="454" spans="1:14" x14ac:dyDescent="0.25">
      <c r="A454" s="50">
        <v>1.2430000000000001</v>
      </c>
      <c r="B454" s="52">
        <v>7327.4980999999998</v>
      </c>
      <c r="C454" s="52">
        <v>0</v>
      </c>
      <c r="D454" s="52">
        <v>950.81330000000003</v>
      </c>
      <c r="E454" s="52">
        <v>950.81330000000003</v>
      </c>
      <c r="F454" s="52">
        <v>0</v>
      </c>
      <c r="G454" s="52">
        <v>1267.751</v>
      </c>
      <c r="H454" s="52">
        <v>633.87549999999999</v>
      </c>
      <c r="I454" s="52">
        <v>1267.751</v>
      </c>
      <c r="J454" s="52">
        <v>376.08229999999998</v>
      </c>
      <c r="K454" s="52">
        <v>1128.2470000000001</v>
      </c>
      <c r="L454" s="52">
        <v>376.08229999999998</v>
      </c>
      <c r="M454" s="52">
        <v>376.08229999999998</v>
      </c>
      <c r="N454" s="5" t="s">
        <v>69</v>
      </c>
    </row>
    <row r="455" spans="1:14" x14ac:dyDescent="0.25">
      <c r="A455" s="50">
        <v>1.244</v>
      </c>
      <c r="B455" s="52">
        <v>7331.5776999999998</v>
      </c>
      <c r="C455" s="52">
        <v>0</v>
      </c>
      <c r="D455" s="52">
        <v>951.57820000000004</v>
      </c>
      <c r="E455" s="52">
        <v>951.57820000000004</v>
      </c>
      <c r="F455" s="52">
        <v>0</v>
      </c>
      <c r="G455" s="52">
        <v>1268.7709</v>
      </c>
      <c r="H455" s="52">
        <v>634.38549999999998</v>
      </c>
      <c r="I455" s="52">
        <v>1268.7709</v>
      </c>
      <c r="J455" s="52">
        <v>376.08229999999998</v>
      </c>
      <c r="K455" s="52">
        <v>1128.2470000000001</v>
      </c>
      <c r="L455" s="52">
        <v>376.08229999999998</v>
      </c>
      <c r="M455" s="52">
        <v>376.08229999999998</v>
      </c>
      <c r="N455" s="5" t="s">
        <v>69</v>
      </c>
    </row>
    <row r="456" spans="1:14" x14ac:dyDescent="0.25">
      <c r="A456" s="50">
        <v>1.2450000000000001</v>
      </c>
      <c r="B456" s="52">
        <v>7335.6574000000001</v>
      </c>
      <c r="C456" s="52">
        <v>0</v>
      </c>
      <c r="D456" s="52">
        <v>952.34310000000005</v>
      </c>
      <c r="E456" s="52">
        <v>952.34310000000005</v>
      </c>
      <c r="F456" s="52">
        <v>0</v>
      </c>
      <c r="G456" s="52">
        <v>1269.7908</v>
      </c>
      <c r="H456" s="52">
        <v>634.8954</v>
      </c>
      <c r="I456" s="52">
        <v>1269.7908</v>
      </c>
      <c r="J456" s="52">
        <v>376.08229999999998</v>
      </c>
      <c r="K456" s="52">
        <v>1128.2470000000001</v>
      </c>
      <c r="L456" s="52">
        <v>376.08229999999998</v>
      </c>
      <c r="M456" s="52">
        <v>376.08229999999998</v>
      </c>
      <c r="N456" s="5" t="s">
        <v>69</v>
      </c>
    </row>
    <row r="457" spans="1:14" x14ac:dyDescent="0.25">
      <c r="A457" s="50">
        <v>1.246</v>
      </c>
      <c r="B457" s="52">
        <v>7339.7370000000001</v>
      </c>
      <c r="C457" s="52">
        <v>0</v>
      </c>
      <c r="D457" s="52">
        <v>953.10810000000004</v>
      </c>
      <c r="E457" s="52">
        <v>953.10810000000004</v>
      </c>
      <c r="F457" s="52">
        <v>0</v>
      </c>
      <c r="G457" s="52">
        <v>1270.8108</v>
      </c>
      <c r="H457" s="52">
        <v>635.40539999999999</v>
      </c>
      <c r="I457" s="52">
        <v>1270.8108</v>
      </c>
      <c r="J457" s="52">
        <v>376.08229999999998</v>
      </c>
      <c r="K457" s="52">
        <v>1128.2470000000001</v>
      </c>
      <c r="L457" s="52">
        <v>376.08229999999998</v>
      </c>
      <c r="M457" s="52">
        <v>376.08229999999998</v>
      </c>
      <c r="N457" s="5" t="s">
        <v>69</v>
      </c>
    </row>
    <row r="458" spans="1:14" x14ac:dyDescent="0.25">
      <c r="A458" s="50">
        <v>1.2470000000000001</v>
      </c>
      <c r="B458" s="52">
        <v>7343.8167000000003</v>
      </c>
      <c r="C458" s="52">
        <v>0</v>
      </c>
      <c r="D458" s="52">
        <v>953.87300000000005</v>
      </c>
      <c r="E458" s="52">
        <v>953.87300000000005</v>
      </c>
      <c r="F458" s="52">
        <v>0</v>
      </c>
      <c r="G458" s="52">
        <v>1271.8307</v>
      </c>
      <c r="H458" s="52">
        <v>635.9153</v>
      </c>
      <c r="I458" s="52">
        <v>1271.8307</v>
      </c>
      <c r="J458" s="52">
        <v>376.08229999999998</v>
      </c>
      <c r="K458" s="52">
        <v>1128.2470000000001</v>
      </c>
      <c r="L458" s="52">
        <v>376.08229999999998</v>
      </c>
      <c r="M458" s="52">
        <v>376.08229999999998</v>
      </c>
      <c r="N458" s="5" t="s">
        <v>69</v>
      </c>
    </row>
    <row r="459" spans="1:14" x14ac:dyDescent="0.25">
      <c r="A459" s="50">
        <v>1.248</v>
      </c>
      <c r="B459" s="52">
        <v>7347.8963000000003</v>
      </c>
      <c r="C459" s="52">
        <v>0</v>
      </c>
      <c r="D459" s="52">
        <v>954.63789999999995</v>
      </c>
      <c r="E459" s="52">
        <v>954.63789999999995</v>
      </c>
      <c r="F459" s="52">
        <v>0</v>
      </c>
      <c r="G459" s="52">
        <v>1272.8506</v>
      </c>
      <c r="H459" s="52">
        <v>636.42529999999999</v>
      </c>
      <c r="I459" s="52">
        <v>1272.8506</v>
      </c>
      <c r="J459" s="52">
        <v>376.08229999999998</v>
      </c>
      <c r="K459" s="52">
        <v>1128.2470000000001</v>
      </c>
      <c r="L459" s="52">
        <v>376.08229999999998</v>
      </c>
      <c r="M459" s="52">
        <v>376.08229999999998</v>
      </c>
      <c r="N459" s="5" t="s">
        <v>69</v>
      </c>
    </row>
    <row r="460" spans="1:14" x14ac:dyDescent="0.25">
      <c r="A460" s="50">
        <v>1.2490000000000001</v>
      </c>
      <c r="B460" s="52">
        <v>7351.9759999999997</v>
      </c>
      <c r="C460" s="52">
        <v>0</v>
      </c>
      <c r="D460" s="52">
        <v>955.40290000000005</v>
      </c>
      <c r="E460" s="52">
        <v>955.40290000000005</v>
      </c>
      <c r="F460" s="52">
        <v>0</v>
      </c>
      <c r="G460" s="52">
        <v>1273.8705</v>
      </c>
      <c r="H460" s="52">
        <v>636.93520000000001</v>
      </c>
      <c r="I460" s="52">
        <v>1273.8705</v>
      </c>
      <c r="J460" s="52">
        <v>376.08229999999998</v>
      </c>
      <c r="K460" s="52">
        <v>1128.2470000000001</v>
      </c>
      <c r="L460" s="52">
        <v>376.08229999999998</v>
      </c>
      <c r="M460" s="52">
        <v>376.08229999999998</v>
      </c>
      <c r="N460" s="5" t="s">
        <v>69</v>
      </c>
    </row>
    <row r="461" spans="1:14" x14ac:dyDescent="0.25">
      <c r="A461" s="50">
        <v>1.25</v>
      </c>
      <c r="B461" s="52">
        <v>7356.0555999999997</v>
      </c>
      <c r="C461" s="52">
        <v>0</v>
      </c>
      <c r="D461" s="52">
        <v>956.16780000000006</v>
      </c>
      <c r="E461" s="52">
        <v>956.16780000000006</v>
      </c>
      <c r="F461" s="52">
        <v>0</v>
      </c>
      <c r="G461" s="52">
        <v>1274.8904</v>
      </c>
      <c r="H461" s="52">
        <v>637.4452</v>
      </c>
      <c r="I461" s="52">
        <v>1274.8904</v>
      </c>
      <c r="J461" s="52">
        <v>376.08229999999998</v>
      </c>
      <c r="K461" s="52">
        <v>1128.2470000000001</v>
      </c>
      <c r="L461" s="52">
        <v>376.08229999999998</v>
      </c>
      <c r="M461" s="52">
        <v>376.08229999999998</v>
      </c>
      <c r="N461" s="5" t="s">
        <v>69</v>
      </c>
    </row>
    <row r="462" spans="1:14" x14ac:dyDescent="0.25">
      <c r="A462" s="50">
        <v>1.2509999999999999</v>
      </c>
      <c r="B462" s="52">
        <v>7360.1352999999999</v>
      </c>
      <c r="C462" s="52">
        <v>0</v>
      </c>
      <c r="D462" s="52">
        <v>956.93269999999995</v>
      </c>
      <c r="E462" s="52">
        <v>956.93269999999995</v>
      </c>
      <c r="F462" s="52">
        <v>0</v>
      </c>
      <c r="G462" s="52">
        <v>1275.9103</v>
      </c>
      <c r="H462" s="52">
        <v>637.95519999999999</v>
      </c>
      <c r="I462" s="52">
        <v>1275.9103</v>
      </c>
      <c r="J462" s="52">
        <v>376.08229999999998</v>
      </c>
      <c r="K462" s="52">
        <v>1128.2470000000001</v>
      </c>
      <c r="L462" s="52">
        <v>376.08229999999998</v>
      </c>
      <c r="M462" s="52">
        <v>376.08229999999998</v>
      </c>
      <c r="N462" s="5" t="s">
        <v>69</v>
      </c>
    </row>
    <row r="463" spans="1:14" x14ac:dyDescent="0.25">
      <c r="A463" s="50">
        <v>1.252</v>
      </c>
      <c r="B463" s="52">
        <v>7364.2148999999999</v>
      </c>
      <c r="C463" s="52">
        <v>0</v>
      </c>
      <c r="D463" s="52">
        <v>957.69770000000005</v>
      </c>
      <c r="E463" s="52">
        <v>957.69770000000005</v>
      </c>
      <c r="F463" s="52">
        <v>0</v>
      </c>
      <c r="G463" s="52">
        <v>1276.9302</v>
      </c>
      <c r="H463" s="52">
        <v>638.46510000000001</v>
      </c>
      <c r="I463" s="52">
        <v>1276.9302</v>
      </c>
      <c r="J463" s="52">
        <v>376.08229999999998</v>
      </c>
      <c r="K463" s="52">
        <v>1128.2470000000001</v>
      </c>
      <c r="L463" s="52">
        <v>376.08229999999998</v>
      </c>
      <c r="M463" s="52">
        <v>376.08229999999998</v>
      </c>
      <c r="N463" s="5" t="s">
        <v>69</v>
      </c>
    </row>
    <row r="464" spans="1:14" x14ac:dyDescent="0.25">
      <c r="A464" s="50">
        <v>1.2529999999999999</v>
      </c>
      <c r="B464" s="52">
        <v>7368.2946000000002</v>
      </c>
      <c r="C464" s="52">
        <v>0</v>
      </c>
      <c r="D464" s="52">
        <v>958.46259999999995</v>
      </c>
      <c r="E464" s="52">
        <v>958.46259999999995</v>
      </c>
      <c r="F464" s="52">
        <v>0</v>
      </c>
      <c r="G464" s="52">
        <v>1277.9501</v>
      </c>
      <c r="H464" s="52">
        <v>638.9751</v>
      </c>
      <c r="I464" s="52">
        <v>1277.9501</v>
      </c>
      <c r="J464" s="52">
        <v>376.08229999999998</v>
      </c>
      <c r="K464" s="52">
        <v>1128.2470000000001</v>
      </c>
      <c r="L464" s="52">
        <v>376.08229999999998</v>
      </c>
      <c r="M464" s="52">
        <v>376.08229999999998</v>
      </c>
      <c r="N464" s="5" t="s">
        <v>69</v>
      </c>
    </row>
    <row r="465" spans="1:14" x14ac:dyDescent="0.25">
      <c r="A465" s="50">
        <v>1.254</v>
      </c>
      <c r="B465" s="52">
        <v>7372.3742000000002</v>
      </c>
      <c r="C465" s="52">
        <v>0</v>
      </c>
      <c r="D465" s="52">
        <v>959.22749999999996</v>
      </c>
      <c r="E465" s="52">
        <v>959.22749999999996</v>
      </c>
      <c r="F465" s="52">
        <v>0</v>
      </c>
      <c r="G465" s="52">
        <v>1278.9701</v>
      </c>
      <c r="H465" s="52">
        <v>639.48500000000001</v>
      </c>
      <c r="I465" s="52">
        <v>1278.9701</v>
      </c>
      <c r="J465" s="52">
        <v>376.08229999999998</v>
      </c>
      <c r="K465" s="52">
        <v>1128.2470000000001</v>
      </c>
      <c r="L465" s="52">
        <v>376.08229999999998</v>
      </c>
      <c r="M465" s="52">
        <v>376.08229999999998</v>
      </c>
      <c r="N465" s="5" t="s">
        <v>69</v>
      </c>
    </row>
    <row r="466" spans="1:14" x14ac:dyDescent="0.25">
      <c r="A466" s="50">
        <v>1.2549999999999999</v>
      </c>
      <c r="B466" s="52">
        <v>7376.4539000000004</v>
      </c>
      <c r="C466" s="52">
        <v>0</v>
      </c>
      <c r="D466" s="52">
        <v>959.99249999999995</v>
      </c>
      <c r="E466" s="52">
        <v>959.99249999999995</v>
      </c>
      <c r="F466" s="52">
        <v>0</v>
      </c>
      <c r="G466" s="52">
        <v>1279.99</v>
      </c>
      <c r="H466" s="52">
        <v>639.995</v>
      </c>
      <c r="I466" s="52">
        <v>1279.99</v>
      </c>
      <c r="J466" s="52">
        <v>376.08229999999998</v>
      </c>
      <c r="K466" s="52">
        <v>1128.2470000000001</v>
      </c>
      <c r="L466" s="52">
        <v>376.08229999999998</v>
      </c>
      <c r="M466" s="52">
        <v>376.08229999999998</v>
      </c>
      <c r="N466" s="5" t="s">
        <v>69</v>
      </c>
    </row>
    <row r="467" spans="1:14" x14ac:dyDescent="0.25">
      <c r="A467" s="50">
        <v>1.256</v>
      </c>
      <c r="B467" s="52">
        <v>7380.5334999999995</v>
      </c>
      <c r="C467" s="52">
        <v>0</v>
      </c>
      <c r="D467" s="52">
        <v>960.75739999999996</v>
      </c>
      <c r="E467" s="52">
        <v>960.75739999999996</v>
      </c>
      <c r="F467" s="52">
        <v>0</v>
      </c>
      <c r="G467" s="52">
        <v>1281.0099</v>
      </c>
      <c r="H467" s="52">
        <v>640.50490000000002</v>
      </c>
      <c r="I467" s="52">
        <v>1281.0099</v>
      </c>
      <c r="J467" s="52">
        <v>376.08229999999998</v>
      </c>
      <c r="K467" s="52">
        <v>1128.2470000000001</v>
      </c>
      <c r="L467" s="52">
        <v>376.08229999999998</v>
      </c>
      <c r="M467" s="52">
        <v>376.08229999999998</v>
      </c>
      <c r="N467" s="5" t="s">
        <v>69</v>
      </c>
    </row>
    <row r="468" spans="1:14" x14ac:dyDescent="0.25">
      <c r="A468" s="50">
        <v>1.2569999999999999</v>
      </c>
      <c r="B468" s="52">
        <v>7384.6131999999998</v>
      </c>
      <c r="C468" s="52">
        <v>0</v>
      </c>
      <c r="D468" s="52">
        <v>961.52229999999997</v>
      </c>
      <c r="E468" s="52">
        <v>961.52229999999997</v>
      </c>
      <c r="F468" s="52">
        <v>0</v>
      </c>
      <c r="G468" s="52">
        <v>1282.0298</v>
      </c>
      <c r="H468" s="52">
        <v>641.01490000000001</v>
      </c>
      <c r="I468" s="52">
        <v>1282.0298</v>
      </c>
      <c r="J468" s="52">
        <v>376.08229999999998</v>
      </c>
      <c r="K468" s="52">
        <v>1128.2470000000001</v>
      </c>
      <c r="L468" s="52">
        <v>376.08229999999998</v>
      </c>
      <c r="M468" s="52">
        <v>376.08229999999998</v>
      </c>
      <c r="N468" s="5" t="s">
        <v>69</v>
      </c>
    </row>
    <row r="469" spans="1:14" x14ac:dyDescent="0.25">
      <c r="A469" s="50">
        <v>1.258</v>
      </c>
      <c r="B469" s="52">
        <v>7388.6927999999998</v>
      </c>
      <c r="C469" s="52">
        <v>0</v>
      </c>
      <c r="D469" s="52">
        <v>962.28729999999996</v>
      </c>
      <c r="E469" s="52">
        <v>962.28729999999996</v>
      </c>
      <c r="F469" s="52">
        <v>0</v>
      </c>
      <c r="G469" s="52">
        <v>1283.0497</v>
      </c>
      <c r="H469" s="52">
        <v>641.5249</v>
      </c>
      <c r="I469" s="52">
        <v>1283.0497</v>
      </c>
      <c r="J469" s="52">
        <v>376.08229999999998</v>
      </c>
      <c r="K469" s="52">
        <v>1128.2470000000001</v>
      </c>
      <c r="L469" s="52">
        <v>376.08229999999998</v>
      </c>
      <c r="M469" s="52">
        <v>376.08229999999998</v>
      </c>
      <c r="N469" s="5" t="s">
        <v>69</v>
      </c>
    </row>
    <row r="470" spans="1:14" x14ac:dyDescent="0.25">
      <c r="A470" s="50">
        <v>1.2589999999999999</v>
      </c>
      <c r="B470" s="52">
        <v>7392.7725</v>
      </c>
      <c r="C470" s="52">
        <v>0</v>
      </c>
      <c r="D470" s="52">
        <v>963.05219999999997</v>
      </c>
      <c r="E470" s="52">
        <v>963.05219999999997</v>
      </c>
      <c r="F470" s="52">
        <v>0</v>
      </c>
      <c r="G470" s="52">
        <v>1284.0696</v>
      </c>
      <c r="H470" s="52">
        <v>642.03480000000002</v>
      </c>
      <c r="I470" s="52">
        <v>1284.0696</v>
      </c>
      <c r="J470" s="52">
        <v>376.08229999999998</v>
      </c>
      <c r="K470" s="52">
        <v>1128.2470000000001</v>
      </c>
      <c r="L470" s="52">
        <v>376.08229999999998</v>
      </c>
      <c r="M470" s="52">
        <v>376.08229999999998</v>
      </c>
      <c r="N470" s="5" t="s">
        <v>69</v>
      </c>
    </row>
    <row r="471" spans="1:14" x14ac:dyDescent="0.25">
      <c r="A471" s="50">
        <v>1.26</v>
      </c>
      <c r="B471" s="52">
        <v>7396.8521000000001</v>
      </c>
      <c r="C471" s="52">
        <v>0</v>
      </c>
      <c r="D471" s="52">
        <v>963.81719999999996</v>
      </c>
      <c r="E471" s="52">
        <v>963.81719999999996</v>
      </c>
      <c r="F471" s="52">
        <v>0</v>
      </c>
      <c r="G471" s="52">
        <v>1285.0895</v>
      </c>
      <c r="H471" s="52">
        <v>642.54480000000001</v>
      </c>
      <c r="I471" s="52">
        <v>1285.0895</v>
      </c>
      <c r="J471" s="52">
        <v>376.08229999999998</v>
      </c>
      <c r="K471" s="52">
        <v>1128.2470000000001</v>
      </c>
      <c r="L471" s="52">
        <v>376.08229999999998</v>
      </c>
      <c r="M471" s="52">
        <v>376.08229999999998</v>
      </c>
      <c r="N471" s="5" t="s">
        <v>69</v>
      </c>
    </row>
    <row r="472" spans="1:14" x14ac:dyDescent="0.25">
      <c r="A472" s="50">
        <v>1.2609999999999999</v>
      </c>
      <c r="B472" s="52">
        <v>7400.9318000000003</v>
      </c>
      <c r="C472" s="52">
        <v>0</v>
      </c>
      <c r="D472" s="52">
        <v>964.58209999999997</v>
      </c>
      <c r="E472" s="52">
        <v>964.58209999999997</v>
      </c>
      <c r="F472" s="52">
        <v>0</v>
      </c>
      <c r="G472" s="52">
        <v>1286.1094000000001</v>
      </c>
      <c r="H472" s="52">
        <v>643.05470000000003</v>
      </c>
      <c r="I472" s="52">
        <v>1286.1094000000001</v>
      </c>
      <c r="J472" s="52">
        <v>376.08229999999998</v>
      </c>
      <c r="K472" s="52">
        <v>1128.2470000000001</v>
      </c>
      <c r="L472" s="52">
        <v>376.08229999999998</v>
      </c>
      <c r="M472" s="52">
        <v>376.08229999999998</v>
      </c>
      <c r="N472" s="5" t="s">
        <v>69</v>
      </c>
    </row>
    <row r="473" spans="1:14" x14ac:dyDescent="0.25">
      <c r="A473" s="50">
        <v>1.262</v>
      </c>
      <c r="B473" s="52">
        <v>7405.0114000000003</v>
      </c>
      <c r="C473" s="52">
        <v>0</v>
      </c>
      <c r="D473" s="52">
        <v>965.34699999999998</v>
      </c>
      <c r="E473" s="52">
        <v>965.34699999999998</v>
      </c>
      <c r="F473" s="52">
        <v>0</v>
      </c>
      <c r="G473" s="52">
        <v>1287.1294</v>
      </c>
      <c r="H473" s="52">
        <v>643.56470000000002</v>
      </c>
      <c r="I473" s="52">
        <v>1287.1294</v>
      </c>
      <c r="J473" s="52">
        <v>376.08229999999998</v>
      </c>
      <c r="K473" s="52">
        <v>1128.2470000000001</v>
      </c>
      <c r="L473" s="52">
        <v>376.08229999999998</v>
      </c>
      <c r="M473" s="52">
        <v>376.08229999999998</v>
      </c>
      <c r="N473" s="5" t="s">
        <v>69</v>
      </c>
    </row>
    <row r="474" spans="1:14" x14ac:dyDescent="0.25">
      <c r="A474" s="50">
        <v>1.2629999999999999</v>
      </c>
      <c r="B474" s="52">
        <v>7409.0910999999996</v>
      </c>
      <c r="C474" s="52">
        <v>0</v>
      </c>
      <c r="D474" s="52">
        <v>966.11199999999997</v>
      </c>
      <c r="E474" s="52">
        <v>966.11199999999997</v>
      </c>
      <c r="F474" s="52">
        <v>0</v>
      </c>
      <c r="G474" s="52">
        <v>1288.1493</v>
      </c>
      <c r="H474" s="52">
        <v>644.07460000000003</v>
      </c>
      <c r="I474" s="52">
        <v>1288.1493</v>
      </c>
      <c r="J474" s="52">
        <v>376.08229999999998</v>
      </c>
      <c r="K474" s="52">
        <v>1128.2470000000001</v>
      </c>
      <c r="L474" s="52">
        <v>376.08229999999998</v>
      </c>
      <c r="M474" s="52">
        <v>376.08229999999998</v>
      </c>
      <c r="N474" s="5" t="s">
        <v>69</v>
      </c>
    </row>
    <row r="475" spans="1:14" x14ac:dyDescent="0.25">
      <c r="A475" s="50">
        <v>1.264</v>
      </c>
      <c r="B475" s="52">
        <v>7413.1706999999997</v>
      </c>
      <c r="C475" s="52">
        <v>0</v>
      </c>
      <c r="D475" s="52">
        <v>966.87689999999998</v>
      </c>
      <c r="E475" s="52">
        <v>966.87689999999998</v>
      </c>
      <c r="F475" s="52">
        <v>0</v>
      </c>
      <c r="G475" s="52">
        <v>1289.1692</v>
      </c>
      <c r="H475" s="52">
        <v>644.58460000000002</v>
      </c>
      <c r="I475" s="52">
        <v>1289.1692</v>
      </c>
      <c r="J475" s="52">
        <v>376.08229999999998</v>
      </c>
      <c r="K475" s="52">
        <v>1128.2470000000001</v>
      </c>
      <c r="L475" s="52">
        <v>376.08229999999998</v>
      </c>
      <c r="M475" s="52">
        <v>376.08229999999998</v>
      </c>
      <c r="N475" s="5" t="s">
        <v>69</v>
      </c>
    </row>
    <row r="476" spans="1:14" x14ac:dyDescent="0.25">
      <c r="A476" s="50">
        <v>1.2649999999999999</v>
      </c>
      <c r="B476" s="52">
        <v>7417.2503999999999</v>
      </c>
      <c r="C476" s="52">
        <v>0</v>
      </c>
      <c r="D476" s="52">
        <v>967.64179999999999</v>
      </c>
      <c r="E476" s="52">
        <v>967.64179999999999</v>
      </c>
      <c r="F476" s="52">
        <v>0</v>
      </c>
      <c r="G476" s="52">
        <v>1290.1891000000001</v>
      </c>
      <c r="H476" s="52">
        <v>645.09450000000004</v>
      </c>
      <c r="I476" s="52">
        <v>1290.1891000000001</v>
      </c>
      <c r="J476" s="52">
        <v>376.08229999999998</v>
      </c>
      <c r="K476" s="52">
        <v>1128.2470000000001</v>
      </c>
      <c r="L476" s="52">
        <v>376.08229999999998</v>
      </c>
      <c r="M476" s="52">
        <v>376.08229999999998</v>
      </c>
      <c r="N476" s="5" t="s">
        <v>69</v>
      </c>
    </row>
    <row r="477" spans="1:14" x14ac:dyDescent="0.25">
      <c r="A477" s="50">
        <v>1.266</v>
      </c>
      <c r="B477" s="52">
        <v>7421.33</v>
      </c>
      <c r="C477" s="52">
        <v>0</v>
      </c>
      <c r="D477" s="52">
        <v>968.40679999999998</v>
      </c>
      <c r="E477" s="52">
        <v>968.40679999999998</v>
      </c>
      <c r="F477" s="52">
        <v>0</v>
      </c>
      <c r="G477" s="52">
        <v>1291.2090000000001</v>
      </c>
      <c r="H477" s="52">
        <v>645.60450000000003</v>
      </c>
      <c r="I477" s="52">
        <v>1291.2090000000001</v>
      </c>
      <c r="J477" s="52">
        <v>376.08229999999998</v>
      </c>
      <c r="K477" s="52">
        <v>1128.2470000000001</v>
      </c>
      <c r="L477" s="52">
        <v>376.08229999999998</v>
      </c>
      <c r="M477" s="52">
        <v>376.08229999999998</v>
      </c>
      <c r="N477" s="5" t="s">
        <v>69</v>
      </c>
    </row>
    <row r="478" spans="1:14" x14ac:dyDescent="0.25">
      <c r="A478" s="50">
        <v>1.2669999999999999</v>
      </c>
      <c r="B478" s="52">
        <v>7425.4097000000002</v>
      </c>
      <c r="C478" s="52">
        <v>0</v>
      </c>
      <c r="D478" s="52">
        <v>969.17169999999999</v>
      </c>
      <c r="E478" s="52">
        <v>969.17169999999999</v>
      </c>
      <c r="F478" s="52">
        <v>0</v>
      </c>
      <c r="G478" s="52">
        <v>1292.2289000000001</v>
      </c>
      <c r="H478" s="52">
        <v>646.11450000000002</v>
      </c>
      <c r="I478" s="52">
        <v>1292.2289000000001</v>
      </c>
      <c r="J478" s="52">
        <v>376.08229999999998</v>
      </c>
      <c r="K478" s="52">
        <v>1128.2470000000001</v>
      </c>
      <c r="L478" s="52">
        <v>376.08229999999998</v>
      </c>
      <c r="M478" s="52">
        <v>376.08229999999998</v>
      </c>
      <c r="N478" s="5" t="s">
        <v>69</v>
      </c>
    </row>
    <row r="479" spans="1:14" x14ac:dyDescent="0.25">
      <c r="A479" s="50">
        <v>1.268</v>
      </c>
      <c r="B479" s="52">
        <v>7429.4893000000002</v>
      </c>
      <c r="C479" s="52">
        <v>0</v>
      </c>
      <c r="D479" s="52">
        <v>969.9366</v>
      </c>
      <c r="E479" s="52">
        <v>969.9366</v>
      </c>
      <c r="F479" s="52">
        <v>0</v>
      </c>
      <c r="G479" s="52">
        <v>1293.2488000000001</v>
      </c>
      <c r="H479" s="52">
        <v>646.62440000000004</v>
      </c>
      <c r="I479" s="52">
        <v>1293.2488000000001</v>
      </c>
      <c r="J479" s="52">
        <v>376.08229999999998</v>
      </c>
      <c r="K479" s="52">
        <v>1128.2470000000001</v>
      </c>
      <c r="L479" s="52">
        <v>376.08229999999998</v>
      </c>
      <c r="M479" s="52">
        <v>376.08229999999998</v>
      </c>
      <c r="N479" s="5" t="s">
        <v>69</v>
      </c>
    </row>
    <row r="480" spans="1:14" x14ac:dyDescent="0.25">
      <c r="A480" s="50">
        <v>1.2689999999999999</v>
      </c>
      <c r="B480" s="52">
        <v>7433.5690000000004</v>
      </c>
      <c r="C480" s="52">
        <v>0</v>
      </c>
      <c r="D480" s="52">
        <v>970.70159999999998</v>
      </c>
      <c r="E480" s="52">
        <v>970.70159999999998</v>
      </c>
      <c r="F480" s="52">
        <v>0</v>
      </c>
      <c r="G480" s="52">
        <v>1294.2687000000001</v>
      </c>
      <c r="H480" s="52">
        <v>647.13440000000003</v>
      </c>
      <c r="I480" s="52">
        <v>1294.2687000000001</v>
      </c>
      <c r="J480" s="52">
        <v>376.08229999999998</v>
      </c>
      <c r="K480" s="52">
        <v>1128.2470000000001</v>
      </c>
      <c r="L480" s="52">
        <v>376.08229999999998</v>
      </c>
      <c r="M480" s="52">
        <v>376.08229999999998</v>
      </c>
      <c r="N480" s="5" t="s">
        <v>69</v>
      </c>
    </row>
    <row r="481" spans="1:14" x14ac:dyDescent="0.25">
      <c r="A481" s="50">
        <v>1.27</v>
      </c>
      <c r="B481" s="52">
        <v>7437.6486000000004</v>
      </c>
      <c r="C481" s="52">
        <v>0</v>
      </c>
      <c r="D481" s="52">
        <v>971.4665</v>
      </c>
      <c r="E481" s="52">
        <v>971.4665</v>
      </c>
      <c r="F481" s="52">
        <v>0</v>
      </c>
      <c r="G481" s="52">
        <v>1295.2887000000001</v>
      </c>
      <c r="H481" s="52">
        <v>647.64430000000004</v>
      </c>
      <c r="I481" s="52">
        <v>1295.2887000000001</v>
      </c>
      <c r="J481" s="52">
        <v>376.08229999999998</v>
      </c>
      <c r="K481" s="52">
        <v>1128.2470000000001</v>
      </c>
      <c r="L481" s="52">
        <v>376.08229999999998</v>
      </c>
      <c r="M481" s="52">
        <v>376.08229999999998</v>
      </c>
      <c r="N481" s="5" t="s">
        <v>69</v>
      </c>
    </row>
    <row r="482" spans="1:14" x14ac:dyDescent="0.25">
      <c r="A482" s="50">
        <v>1.2709999999999999</v>
      </c>
      <c r="B482" s="52">
        <v>7441.7282999999998</v>
      </c>
      <c r="C482" s="52">
        <v>0</v>
      </c>
      <c r="D482" s="52">
        <v>972.23140000000001</v>
      </c>
      <c r="E482" s="52">
        <v>972.23140000000001</v>
      </c>
      <c r="F482" s="52">
        <v>0</v>
      </c>
      <c r="G482" s="52">
        <v>1296.3086000000001</v>
      </c>
      <c r="H482" s="52">
        <v>648.15430000000003</v>
      </c>
      <c r="I482" s="52">
        <v>1296.3086000000001</v>
      </c>
      <c r="J482" s="52">
        <v>376.08229999999998</v>
      </c>
      <c r="K482" s="52">
        <v>1128.2470000000001</v>
      </c>
      <c r="L482" s="52">
        <v>376.08229999999998</v>
      </c>
      <c r="M482" s="52">
        <v>376.08229999999998</v>
      </c>
      <c r="N482" s="5" t="s">
        <v>69</v>
      </c>
    </row>
    <row r="483" spans="1:14" x14ac:dyDescent="0.25">
      <c r="A483" s="50">
        <v>1.272</v>
      </c>
      <c r="B483" s="52">
        <v>7445.8078999999998</v>
      </c>
      <c r="C483" s="52">
        <v>0</v>
      </c>
      <c r="D483" s="52">
        <v>972.99639999999999</v>
      </c>
      <c r="E483" s="52">
        <v>972.99639999999999</v>
      </c>
      <c r="F483" s="52">
        <v>0</v>
      </c>
      <c r="G483" s="52">
        <v>1297.3285000000001</v>
      </c>
      <c r="H483" s="52">
        <v>648.66420000000005</v>
      </c>
      <c r="I483" s="52">
        <v>1297.3285000000001</v>
      </c>
      <c r="J483" s="52">
        <v>376.08229999999998</v>
      </c>
      <c r="K483" s="52">
        <v>1128.2470000000001</v>
      </c>
      <c r="L483" s="52">
        <v>376.08229999999998</v>
      </c>
      <c r="M483" s="52">
        <v>376.08229999999998</v>
      </c>
      <c r="N483" s="5" t="s">
        <v>69</v>
      </c>
    </row>
    <row r="484" spans="1:14" x14ac:dyDescent="0.25">
      <c r="A484" s="50">
        <v>1.2729999999999999</v>
      </c>
      <c r="B484" s="52">
        <v>7449.8876</v>
      </c>
      <c r="C484" s="52">
        <v>0</v>
      </c>
      <c r="D484" s="52">
        <v>973.76130000000001</v>
      </c>
      <c r="E484" s="52">
        <v>973.76130000000001</v>
      </c>
      <c r="F484" s="52">
        <v>0</v>
      </c>
      <c r="G484" s="52">
        <v>1298.3484000000001</v>
      </c>
      <c r="H484" s="52">
        <v>649.17420000000004</v>
      </c>
      <c r="I484" s="52">
        <v>1298.3484000000001</v>
      </c>
      <c r="J484" s="52">
        <v>376.08229999999998</v>
      </c>
      <c r="K484" s="52">
        <v>1128.2470000000001</v>
      </c>
      <c r="L484" s="52">
        <v>376.08229999999998</v>
      </c>
      <c r="M484" s="52">
        <v>376.08229999999998</v>
      </c>
      <c r="N484" s="5" t="s">
        <v>69</v>
      </c>
    </row>
    <row r="485" spans="1:14" x14ac:dyDescent="0.25">
      <c r="A485" s="50">
        <v>1.274</v>
      </c>
      <c r="B485" s="52">
        <v>7453.9672</v>
      </c>
      <c r="C485" s="52">
        <v>0</v>
      </c>
      <c r="D485" s="52">
        <v>974.52620000000002</v>
      </c>
      <c r="E485" s="52">
        <v>974.52620000000002</v>
      </c>
      <c r="F485" s="52">
        <v>0</v>
      </c>
      <c r="G485" s="52">
        <v>1299.3683000000001</v>
      </c>
      <c r="H485" s="52">
        <v>649.68420000000003</v>
      </c>
      <c r="I485" s="52">
        <v>1299.3683000000001</v>
      </c>
      <c r="J485" s="52">
        <v>376.08229999999998</v>
      </c>
      <c r="K485" s="52">
        <v>1128.2470000000001</v>
      </c>
      <c r="L485" s="52">
        <v>376.08229999999998</v>
      </c>
      <c r="M485" s="52">
        <v>376.08229999999998</v>
      </c>
      <c r="N485" s="5" t="s">
        <v>69</v>
      </c>
    </row>
    <row r="486" spans="1:14" x14ac:dyDescent="0.25">
      <c r="A486" s="50">
        <v>1.2749999999999999</v>
      </c>
      <c r="B486" s="52">
        <v>7458.0469000000003</v>
      </c>
      <c r="C486" s="52">
        <v>0</v>
      </c>
      <c r="D486" s="52">
        <v>975.2912</v>
      </c>
      <c r="E486" s="52">
        <v>975.2912</v>
      </c>
      <c r="F486" s="52">
        <v>0</v>
      </c>
      <c r="G486" s="52">
        <v>1300.3882000000001</v>
      </c>
      <c r="H486" s="52">
        <v>650.19410000000005</v>
      </c>
      <c r="I486" s="52">
        <v>1300.3882000000001</v>
      </c>
      <c r="J486" s="52">
        <v>376.08229999999998</v>
      </c>
      <c r="K486" s="52">
        <v>1128.2470000000001</v>
      </c>
      <c r="L486" s="52">
        <v>376.08229999999998</v>
      </c>
      <c r="M486" s="52">
        <v>376.08229999999998</v>
      </c>
      <c r="N486" s="5" t="s">
        <v>69</v>
      </c>
    </row>
    <row r="487" spans="1:14" x14ac:dyDescent="0.25">
      <c r="A487" s="50">
        <v>1.276</v>
      </c>
      <c r="B487" s="52">
        <v>7462.1265000000003</v>
      </c>
      <c r="C487" s="52">
        <v>0</v>
      </c>
      <c r="D487" s="52">
        <v>976.05610000000001</v>
      </c>
      <c r="E487" s="52">
        <v>976.05610000000001</v>
      </c>
      <c r="F487" s="52">
        <v>0</v>
      </c>
      <c r="G487" s="52">
        <v>1301.4081000000001</v>
      </c>
      <c r="H487" s="52">
        <v>650.70410000000004</v>
      </c>
      <c r="I487" s="52">
        <v>1301.4081000000001</v>
      </c>
      <c r="J487" s="52">
        <v>376.08229999999998</v>
      </c>
      <c r="K487" s="52">
        <v>1128.2470000000001</v>
      </c>
      <c r="L487" s="52">
        <v>376.08229999999998</v>
      </c>
      <c r="M487" s="52">
        <v>376.08229999999998</v>
      </c>
      <c r="N487" s="5" t="s">
        <v>69</v>
      </c>
    </row>
    <row r="488" spans="1:14" x14ac:dyDescent="0.25">
      <c r="A488" s="50">
        <v>1.2769999999999999</v>
      </c>
      <c r="B488" s="52">
        <v>7466.2061999999996</v>
      </c>
      <c r="C488" s="52">
        <v>0</v>
      </c>
      <c r="D488" s="52">
        <v>976.82100000000003</v>
      </c>
      <c r="E488" s="52">
        <v>976.82100000000003</v>
      </c>
      <c r="F488" s="52">
        <v>0</v>
      </c>
      <c r="G488" s="52">
        <v>1302.4280000000001</v>
      </c>
      <c r="H488" s="52">
        <v>651.21400000000006</v>
      </c>
      <c r="I488" s="52">
        <v>1302.4280000000001</v>
      </c>
      <c r="J488" s="52">
        <v>376.08229999999998</v>
      </c>
      <c r="K488" s="52">
        <v>1128.2470000000001</v>
      </c>
      <c r="L488" s="52">
        <v>376.08229999999998</v>
      </c>
      <c r="M488" s="52">
        <v>376.08229999999998</v>
      </c>
      <c r="N488" s="5" t="s">
        <v>69</v>
      </c>
    </row>
    <row r="489" spans="1:14" x14ac:dyDescent="0.25">
      <c r="A489" s="50">
        <v>1.278</v>
      </c>
      <c r="B489" s="52">
        <v>7470.2857999999997</v>
      </c>
      <c r="C489" s="52">
        <v>0</v>
      </c>
      <c r="D489" s="52">
        <v>977.58600000000001</v>
      </c>
      <c r="E489" s="52">
        <v>977.58600000000001</v>
      </c>
      <c r="F489" s="52">
        <v>0</v>
      </c>
      <c r="G489" s="52">
        <v>1303.4480000000001</v>
      </c>
      <c r="H489" s="52">
        <v>651.72400000000005</v>
      </c>
      <c r="I489" s="52">
        <v>1303.4480000000001</v>
      </c>
      <c r="J489" s="52">
        <v>376.08229999999998</v>
      </c>
      <c r="K489" s="52">
        <v>1128.2470000000001</v>
      </c>
      <c r="L489" s="52">
        <v>376.08229999999998</v>
      </c>
      <c r="M489" s="52">
        <v>376.08229999999998</v>
      </c>
      <c r="N489" s="5" t="s">
        <v>69</v>
      </c>
    </row>
    <row r="490" spans="1:14" x14ac:dyDescent="0.25">
      <c r="A490" s="50">
        <v>1.2789999999999999</v>
      </c>
      <c r="B490" s="52">
        <v>7474.3654999999999</v>
      </c>
      <c r="C490" s="52">
        <v>0</v>
      </c>
      <c r="D490" s="52">
        <v>978.35090000000002</v>
      </c>
      <c r="E490" s="52">
        <v>978.35090000000002</v>
      </c>
      <c r="F490" s="52">
        <v>0</v>
      </c>
      <c r="G490" s="52">
        <v>1304.4679000000001</v>
      </c>
      <c r="H490" s="52">
        <v>652.23389999999995</v>
      </c>
      <c r="I490" s="52">
        <v>1304.4679000000001</v>
      </c>
      <c r="J490" s="52">
        <v>376.08229999999998</v>
      </c>
      <c r="K490" s="52">
        <v>1128.2470000000001</v>
      </c>
      <c r="L490" s="52">
        <v>376.08229999999998</v>
      </c>
      <c r="M490" s="52">
        <v>376.08229999999998</v>
      </c>
      <c r="N490" s="5" t="s">
        <v>69</v>
      </c>
    </row>
    <row r="491" spans="1:14" x14ac:dyDescent="0.25">
      <c r="A491" s="50">
        <v>1.28</v>
      </c>
      <c r="B491" s="52">
        <v>7478.4450999999999</v>
      </c>
      <c r="C491" s="52">
        <v>0</v>
      </c>
      <c r="D491" s="52">
        <v>979.11580000000004</v>
      </c>
      <c r="E491" s="52">
        <v>979.11580000000004</v>
      </c>
      <c r="F491" s="52">
        <v>0</v>
      </c>
      <c r="G491" s="52">
        <v>1305.4878000000001</v>
      </c>
      <c r="H491" s="52">
        <v>652.74390000000005</v>
      </c>
      <c r="I491" s="52">
        <v>1305.4878000000001</v>
      </c>
      <c r="J491" s="52">
        <v>376.08229999999998</v>
      </c>
      <c r="K491" s="52">
        <v>1128.2470000000001</v>
      </c>
      <c r="L491" s="52">
        <v>376.08229999999998</v>
      </c>
      <c r="M491" s="52">
        <v>376.08229999999998</v>
      </c>
      <c r="N491" s="5" t="s">
        <v>69</v>
      </c>
    </row>
    <row r="492" spans="1:14" x14ac:dyDescent="0.25">
      <c r="A492" s="50">
        <v>1.2809999999999999</v>
      </c>
      <c r="B492" s="52">
        <v>7482.5248000000001</v>
      </c>
      <c r="C492" s="52">
        <v>0</v>
      </c>
      <c r="D492" s="52">
        <v>979.88080000000002</v>
      </c>
      <c r="E492" s="52">
        <v>979.88080000000002</v>
      </c>
      <c r="F492" s="52">
        <v>0</v>
      </c>
      <c r="G492" s="52">
        <v>1306.5077000000001</v>
      </c>
      <c r="H492" s="52">
        <v>653.25379999999996</v>
      </c>
      <c r="I492" s="52">
        <v>1306.5077000000001</v>
      </c>
      <c r="J492" s="52">
        <v>376.08229999999998</v>
      </c>
      <c r="K492" s="52">
        <v>1128.2470000000001</v>
      </c>
      <c r="L492" s="52">
        <v>376.08229999999998</v>
      </c>
      <c r="M492" s="52">
        <v>376.08229999999998</v>
      </c>
      <c r="N492" s="5" t="s">
        <v>69</v>
      </c>
    </row>
    <row r="493" spans="1:14" x14ac:dyDescent="0.25">
      <c r="A493" s="50">
        <v>1.282</v>
      </c>
      <c r="B493" s="52">
        <v>7486.6044000000002</v>
      </c>
      <c r="C493" s="52">
        <v>0</v>
      </c>
      <c r="D493" s="52">
        <v>980.64570000000003</v>
      </c>
      <c r="E493" s="52">
        <v>980.64570000000003</v>
      </c>
      <c r="F493" s="52">
        <v>0</v>
      </c>
      <c r="G493" s="52">
        <v>1307.5275999999999</v>
      </c>
      <c r="H493" s="52">
        <v>653.76379999999995</v>
      </c>
      <c r="I493" s="52">
        <v>1307.5275999999999</v>
      </c>
      <c r="J493" s="52">
        <v>376.08229999999998</v>
      </c>
      <c r="K493" s="52">
        <v>1128.2470000000001</v>
      </c>
      <c r="L493" s="52">
        <v>376.08229999999998</v>
      </c>
      <c r="M493" s="52">
        <v>376.08229999999998</v>
      </c>
      <c r="N493" s="5" t="s">
        <v>69</v>
      </c>
    </row>
    <row r="494" spans="1:14" x14ac:dyDescent="0.25">
      <c r="A494" s="50">
        <v>1.2829999999999999</v>
      </c>
      <c r="B494" s="52">
        <v>7490.6841000000004</v>
      </c>
      <c r="C494" s="52">
        <v>0</v>
      </c>
      <c r="D494" s="52">
        <v>981.41060000000004</v>
      </c>
      <c r="E494" s="52">
        <v>981.41060000000004</v>
      </c>
      <c r="F494" s="52">
        <v>0</v>
      </c>
      <c r="G494" s="52">
        <v>1308.5474999999999</v>
      </c>
      <c r="H494" s="52">
        <v>654.27380000000005</v>
      </c>
      <c r="I494" s="52">
        <v>1308.5474999999999</v>
      </c>
      <c r="J494" s="52">
        <v>376.08229999999998</v>
      </c>
      <c r="K494" s="52">
        <v>1128.2470000000001</v>
      </c>
      <c r="L494" s="52">
        <v>376.08229999999998</v>
      </c>
      <c r="M494" s="52">
        <v>376.08229999999998</v>
      </c>
      <c r="N494" s="5" t="s">
        <v>69</v>
      </c>
    </row>
    <row r="495" spans="1:14" x14ac:dyDescent="0.25">
      <c r="A495" s="50">
        <v>1.284</v>
      </c>
      <c r="B495" s="52">
        <v>7494.7637000000004</v>
      </c>
      <c r="C495" s="52">
        <v>0</v>
      </c>
      <c r="D495" s="52">
        <v>982.17560000000003</v>
      </c>
      <c r="E495" s="52">
        <v>982.17560000000003</v>
      </c>
      <c r="F495" s="52">
        <v>0</v>
      </c>
      <c r="G495" s="52">
        <v>1309.5673999999999</v>
      </c>
      <c r="H495" s="52">
        <v>654.78369999999995</v>
      </c>
      <c r="I495" s="52">
        <v>1309.5673999999999</v>
      </c>
      <c r="J495" s="52">
        <v>376.08229999999998</v>
      </c>
      <c r="K495" s="52">
        <v>1128.2470000000001</v>
      </c>
      <c r="L495" s="52">
        <v>376.08229999999998</v>
      </c>
      <c r="M495" s="52">
        <v>376.08229999999998</v>
      </c>
      <c r="N495" s="5" t="s">
        <v>69</v>
      </c>
    </row>
    <row r="496" spans="1:14" x14ac:dyDescent="0.25">
      <c r="A496" s="50">
        <v>1.2849999999999999</v>
      </c>
      <c r="B496" s="52">
        <v>7498.8433999999997</v>
      </c>
      <c r="C496" s="52">
        <v>0</v>
      </c>
      <c r="D496" s="52">
        <v>982.94050000000004</v>
      </c>
      <c r="E496" s="52">
        <v>982.94050000000004</v>
      </c>
      <c r="F496" s="52">
        <v>0</v>
      </c>
      <c r="G496" s="52">
        <v>1310.5872999999999</v>
      </c>
      <c r="H496" s="52">
        <v>655.29369999999994</v>
      </c>
      <c r="I496" s="52">
        <v>1310.5872999999999</v>
      </c>
      <c r="J496" s="52">
        <v>376.08229999999998</v>
      </c>
      <c r="K496" s="52">
        <v>1128.2470000000001</v>
      </c>
      <c r="L496" s="52">
        <v>376.08229999999998</v>
      </c>
      <c r="M496" s="52">
        <v>376.08229999999998</v>
      </c>
      <c r="N496" s="5" t="s">
        <v>69</v>
      </c>
    </row>
    <row r="497" spans="1:14" x14ac:dyDescent="0.25">
      <c r="A497" s="50">
        <v>1.286</v>
      </c>
      <c r="B497" s="52">
        <v>7502.9229999999998</v>
      </c>
      <c r="C497" s="52">
        <v>0</v>
      </c>
      <c r="D497" s="52">
        <v>983.70540000000005</v>
      </c>
      <c r="E497" s="52">
        <v>983.70540000000005</v>
      </c>
      <c r="F497" s="52">
        <v>0</v>
      </c>
      <c r="G497" s="52">
        <v>1311.6072999999999</v>
      </c>
      <c r="H497" s="52">
        <v>655.80359999999996</v>
      </c>
      <c r="I497" s="52">
        <v>1311.6072999999999</v>
      </c>
      <c r="J497" s="52">
        <v>376.08229999999998</v>
      </c>
      <c r="K497" s="52">
        <v>1128.2470000000001</v>
      </c>
      <c r="L497" s="52">
        <v>376.08229999999998</v>
      </c>
      <c r="M497" s="52">
        <v>376.08229999999998</v>
      </c>
      <c r="N497" s="5" t="s">
        <v>69</v>
      </c>
    </row>
    <row r="498" spans="1:14" x14ac:dyDescent="0.25">
      <c r="A498" s="50">
        <v>1.2869999999999999</v>
      </c>
      <c r="B498" s="52">
        <v>7507.0027</v>
      </c>
      <c r="C498" s="52">
        <v>0</v>
      </c>
      <c r="D498" s="52">
        <v>984.47040000000004</v>
      </c>
      <c r="E498" s="52">
        <v>984.47040000000004</v>
      </c>
      <c r="F498" s="52">
        <v>0</v>
      </c>
      <c r="G498" s="52">
        <v>1312.6271999999999</v>
      </c>
      <c r="H498" s="52">
        <v>656.31359999999995</v>
      </c>
      <c r="I498" s="52">
        <v>1312.6271999999999</v>
      </c>
      <c r="J498" s="52">
        <v>376.08229999999998</v>
      </c>
      <c r="K498" s="52">
        <v>1128.2470000000001</v>
      </c>
      <c r="L498" s="52">
        <v>376.08229999999998</v>
      </c>
      <c r="M498" s="52">
        <v>376.08229999999998</v>
      </c>
      <c r="N498" s="5" t="s">
        <v>69</v>
      </c>
    </row>
    <row r="499" spans="1:14" x14ac:dyDescent="0.25">
      <c r="A499" s="50">
        <v>1.288</v>
      </c>
      <c r="B499" s="52">
        <v>7511.0823</v>
      </c>
      <c r="C499" s="52">
        <v>0</v>
      </c>
      <c r="D499" s="52">
        <v>985.23530000000005</v>
      </c>
      <c r="E499" s="52">
        <v>985.23530000000005</v>
      </c>
      <c r="F499" s="52">
        <v>0</v>
      </c>
      <c r="G499" s="52">
        <v>1313.6470999999999</v>
      </c>
      <c r="H499" s="52">
        <v>656.82349999999997</v>
      </c>
      <c r="I499" s="52">
        <v>1313.6470999999999</v>
      </c>
      <c r="J499" s="52">
        <v>376.08229999999998</v>
      </c>
      <c r="K499" s="52">
        <v>1128.2470000000001</v>
      </c>
      <c r="L499" s="52">
        <v>376.08229999999998</v>
      </c>
      <c r="M499" s="52">
        <v>376.08229999999998</v>
      </c>
      <c r="N499" s="5" t="s">
        <v>69</v>
      </c>
    </row>
    <row r="500" spans="1:14" x14ac:dyDescent="0.25">
      <c r="A500" s="50">
        <v>1.2889999999999999</v>
      </c>
      <c r="B500" s="52">
        <v>7515.1620000000003</v>
      </c>
      <c r="C500" s="52">
        <v>0</v>
      </c>
      <c r="D500" s="52">
        <v>986.00019999999995</v>
      </c>
      <c r="E500" s="52">
        <v>986.00019999999995</v>
      </c>
      <c r="F500" s="52">
        <v>0</v>
      </c>
      <c r="G500" s="52">
        <v>1314.6669999999999</v>
      </c>
      <c r="H500" s="52">
        <v>657.33349999999996</v>
      </c>
      <c r="I500" s="52">
        <v>1314.6669999999999</v>
      </c>
      <c r="J500" s="52">
        <v>376.08229999999998</v>
      </c>
      <c r="K500" s="52">
        <v>1128.2470000000001</v>
      </c>
      <c r="L500" s="52">
        <v>376.08229999999998</v>
      </c>
      <c r="M500" s="52">
        <v>376.08229999999998</v>
      </c>
      <c r="N500" s="5" t="s">
        <v>69</v>
      </c>
    </row>
    <row r="501" spans="1:14" x14ac:dyDescent="0.25">
      <c r="A501" s="50">
        <v>1.29</v>
      </c>
      <c r="B501" s="52">
        <v>7519.2416000000003</v>
      </c>
      <c r="C501" s="52">
        <v>0</v>
      </c>
      <c r="D501" s="52">
        <v>986.76520000000005</v>
      </c>
      <c r="E501" s="52">
        <v>986.76520000000005</v>
      </c>
      <c r="F501" s="52">
        <v>0</v>
      </c>
      <c r="G501" s="52">
        <v>1315.6868999999999</v>
      </c>
      <c r="H501" s="52">
        <v>657.84349999999995</v>
      </c>
      <c r="I501" s="52">
        <v>1315.6868999999999</v>
      </c>
      <c r="J501" s="52">
        <v>376.08229999999998</v>
      </c>
      <c r="K501" s="52">
        <v>1128.2470000000001</v>
      </c>
      <c r="L501" s="52">
        <v>376.08229999999998</v>
      </c>
      <c r="M501" s="52">
        <v>376.08229999999998</v>
      </c>
      <c r="N501" s="5" t="s">
        <v>69</v>
      </c>
    </row>
    <row r="502" spans="1:14" x14ac:dyDescent="0.25">
      <c r="A502" s="50">
        <v>1.2909999999999999</v>
      </c>
      <c r="B502" s="52">
        <v>7523.3212999999996</v>
      </c>
      <c r="C502" s="52">
        <v>0</v>
      </c>
      <c r="D502" s="52">
        <v>987.53009999999995</v>
      </c>
      <c r="E502" s="52">
        <v>987.53009999999995</v>
      </c>
      <c r="F502" s="52">
        <v>0</v>
      </c>
      <c r="G502" s="52">
        <v>1316.7067999999999</v>
      </c>
      <c r="H502" s="52">
        <v>658.35339999999997</v>
      </c>
      <c r="I502" s="52">
        <v>1316.7067999999999</v>
      </c>
      <c r="J502" s="52">
        <v>376.08229999999998</v>
      </c>
      <c r="K502" s="52">
        <v>1128.2470000000001</v>
      </c>
      <c r="L502" s="52">
        <v>376.08229999999998</v>
      </c>
      <c r="M502" s="52">
        <v>376.08229999999998</v>
      </c>
      <c r="N502" s="5" t="s">
        <v>69</v>
      </c>
    </row>
    <row r="503" spans="1:14" x14ac:dyDescent="0.25">
      <c r="A503" s="50">
        <v>1.292</v>
      </c>
      <c r="B503" s="52">
        <v>7527.4008999999996</v>
      </c>
      <c r="C503" s="52">
        <v>0</v>
      </c>
      <c r="D503" s="52">
        <v>988.29499999999996</v>
      </c>
      <c r="E503" s="52">
        <v>988.29499999999996</v>
      </c>
      <c r="F503" s="52">
        <v>0</v>
      </c>
      <c r="G503" s="52">
        <v>1317.7266999999999</v>
      </c>
      <c r="H503" s="52">
        <v>658.86339999999996</v>
      </c>
      <c r="I503" s="52">
        <v>1317.7266999999999</v>
      </c>
      <c r="J503" s="52">
        <v>376.08229999999998</v>
      </c>
      <c r="K503" s="52">
        <v>1128.2470000000001</v>
      </c>
      <c r="L503" s="52">
        <v>376.08229999999998</v>
      </c>
      <c r="M503" s="52">
        <v>376.08229999999998</v>
      </c>
      <c r="N503" s="5" t="s">
        <v>69</v>
      </c>
    </row>
    <row r="504" spans="1:14" x14ac:dyDescent="0.25">
      <c r="A504" s="50">
        <v>1.2929999999999999</v>
      </c>
      <c r="B504" s="52">
        <v>7531.4805999999999</v>
      </c>
      <c r="C504" s="52">
        <v>0</v>
      </c>
      <c r="D504" s="52">
        <v>989.06</v>
      </c>
      <c r="E504" s="52">
        <v>989.06</v>
      </c>
      <c r="F504" s="52">
        <v>0</v>
      </c>
      <c r="G504" s="52">
        <v>1318.7465999999999</v>
      </c>
      <c r="H504" s="52">
        <v>659.37329999999997</v>
      </c>
      <c r="I504" s="52">
        <v>1318.7465999999999</v>
      </c>
      <c r="J504" s="52">
        <v>376.08229999999998</v>
      </c>
      <c r="K504" s="52">
        <v>1128.2470000000001</v>
      </c>
      <c r="L504" s="52">
        <v>376.08229999999998</v>
      </c>
      <c r="M504" s="52">
        <v>376.08229999999998</v>
      </c>
      <c r="N504" s="5" t="s">
        <v>69</v>
      </c>
    </row>
    <row r="505" spans="1:14" x14ac:dyDescent="0.25">
      <c r="A505" s="50">
        <v>1.294</v>
      </c>
      <c r="B505" s="52">
        <v>7535.5601999999999</v>
      </c>
      <c r="C505" s="52">
        <v>0</v>
      </c>
      <c r="D505" s="52">
        <v>989.82489999999996</v>
      </c>
      <c r="E505" s="52">
        <v>989.82489999999996</v>
      </c>
      <c r="F505" s="52">
        <v>0</v>
      </c>
      <c r="G505" s="52">
        <v>1319.7665999999999</v>
      </c>
      <c r="H505" s="52">
        <v>659.88329999999996</v>
      </c>
      <c r="I505" s="52">
        <v>1319.7665999999999</v>
      </c>
      <c r="J505" s="52">
        <v>376.08229999999998</v>
      </c>
      <c r="K505" s="52">
        <v>1128.2470000000001</v>
      </c>
      <c r="L505" s="52">
        <v>376.08229999999998</v>
      </c>
      <c r="M505" s="52">
        <v>376.08229999999998</v>
      </c>
      <c r="N505" s="5" t="s">
        <v>69</v>
      </c>
    </row>
    <row r="506" spans="1:14" x14ac:dyDescent="0.25">
      <c r="A506" s="50">
        <v>1.2949999999999999</v>
      </c>
      <c r="B506" s="52">
        <v>7539.6399000000001</v>
      </c>
      <c r="C506" s="52">
        <v>0</v>
      </c>
      <c r="D506" s="52">
        <v>990.58979999999997</v>
      </c>
      <c r="E506" s="52">
        <v>990.58979999999997</v>
      </c>
      <c r="F506" s="52">
        <v>0</v>
      </c>
      <c r="G506" s="52">
        <v>1320.7864999999999</v>
      </c>
      <c r="H506" s="52">
        <v>660.39319999999998</v>
      </c>
      <c r="I506" s="52">
        <v>1320.7864999999999</v>
      </c>
      <c r="J506" s="52">
        <v>376.08229999999998</v>
      </c>
      <c r="K506" s="52">
        <v>1128.2470000000001</v>
      </c>
      <c r="L506" s="52">
        <v>376.08229999999998</v>
      </c>
      <c r="M506" s="52">
        <v>376.08229999999998</v>
      </c>
      <c r="N506" s="5" t="s">
        <v>69</v>
      </c>
    </row>
    <row r="507" spans="1:14" x14ac:dyDescent="0.25">
      <c r="A507" s="50">
        <v>1.296</v>
      </c>
      <c r="B507" s="52">
        <v>7543.7195000000002</v>
      </c>
      <c r="C507" s="52">
        <v>0</v>
      </c>
      <c r="D507" s="52">
        <v>991.35479999999995</v>
      </c>
      <c r="E507" s="52">
        <v>991.35479999999995</v>
      </c>
      <c r="F507" s="52">
        <v>0</v>
      </c>
      <c r="G507" s="52">
        <v>1321.8063999999999</v>
      </c>
      <c r="H507" s="52">
        <v>660.90319999999997</v>
      </c>
      <c r="I507" s="52">
        <v>1321.8063999999999</v>
      </c>
      <c r="J507" s="52">
        <v>376.08229999999998</v>
      </c>
      <c r="K507" s="52">
        <v>1128.2470000000001</v>
      </c>
      <c r="L507" s="52">
        <v>376.08229999999998</v>
      </c>
      <c r="M507" s="52">
        <v>376.08229999999998</v>
      </c>
      <c r="N507" s="5" t="s">
        <v>69</v>
      </c>
    </row>
    <row r="508" spans="1:14" x14ac:dyDescent="0.25">
      <c r="A508" s="50">
        <v>1.2969999999999999</v>
      </c>
      <c r="B508" s="52">
        <v>7547.7992000000004</v>
      </c>
      <c r="C508" s="52">
        <v>0</v>
      </c>
      <c r="D508" s="52">
        <v>992.11969999999997</v>
      </c>
      <c r="E508" s="52">
        <v>992.11969999999997</v>
      </c>
      <c r="F508" s="52">
        <v>0</v>
      </c>
      <c r="G508" s="52">
        <v>1322.8262999999999</v>
      </c>
      <c r="H508" s="52">
        <v>661.41309999999999</v>
      </c>
      <c r="I508" s="52">
        <v>1322.8262999999999</v>
      </c>
      <c r="J508" s="52">
        <v>376.08229999999998</v>
      </c>
      <c r="K508" s="52">
        <v>1128.2470000000001</v>
      </c>
      <c r="L508" s="52">
        <v>376.08229999999998</v>
      </c>
      <c r="M508" s="52">
        <v>376.08229999999998</v>
      </c>
      <c r="N508" s="5" t="s">
        <v>69</v>
      </c>
    </row>
    <row r="509" spans="1:14" x14ac:dyDescent="0.25">
      <c r="A509" s="50">
        <v>1.298</v>
      </c>
      <c r="B509" s="52">
        <v>7551.8788000000004</v>
      </c>
      <c r="C509" s="52">
        <v>0</v>
      </c>
      <c r="D509" s="52">
        <v>992.88469999999995</v>
      </c>
      <c r="E509" s="52">
        <v>992.88469999999995</v>
      </c>
      <c r="F509" s="52">
        <v>0</v>
      </c>
      <c r="G509" s="52">
        <v>1323.8462</v>
      </c>
      <c r="H509" s="52">
        <v>661.92309999999998</v>
      </c>
      <c r="I509" s="52">
        <v>1323.8462</v>
      </c>
      <c r="J509" s="52">
        <v>376.08229999999998</v>
      </c>
      <c r="K509" s="52">
        <v>1128.2470000000001</v>
      </c>
      <c r="L509" s="52">
        <v>376.08229999999998</v>
      </c>
      <c r="M509" s="52">
        <v>376.08229999999998</v>
      </c>
      <c r="N509" s="5" t="s">
        <v>69</v>
      </c>
    </row>
    <row r="510" spans="1:14" x14ac:dyDescent="0.25">
      <c r="A510" s="50">
        <v>1.2989999999999999</v>
      </c>
      <c r="B510" s="52">
        <v>7555.9584999999997</v>
      </c>
      <c r="C510" s="52">
        <v>0</v>
      </c>
      <c r="D510" s="52">
        <v>993.64959999999996</v>
      </c>
      <c r="E510" s="52">
        <v>993.64959999999996</v>
      </c>
      <c r="F510" s="52">
        <v>0</v>
      </c>
      <c r="G510" s="52">
        <v>1324.8661</v>
      </c>
      <c r="H510" s="52">
        <v>662.43309999999997</v>
      </c>
      <c r="I510" s="52">
        <v>1324.8661</v>
      </c>
      <c r="J510" s="52">
        <v>376.08229999999998</v>
      </c>
      <c r="K510" s="52">
        <v>1128.2470000000001</v>
      </c>
      <c r="L510" s="52">
        <v>376.08229999999998</v>
      </c>
      <c r="M510" s="52">
        <v>376.08229999999998</v>
      </c>
      <c r="N510" s="5" t="s">
        <v>69</v>
      </c>
    </row>
    <row r="511" spans="1:14" x14ac:dyDescent="0.25">
      <c r="A511" s="50">
        <v>1.3</v>
      </c>
      <c r="B511" s="52">
        <v>7593.8185999999996</v>
      </c>
      <c r="C511" s="52">
        <v>0</v>
      </c>
      <c r="D511" s="52">
        <v>1000.7483999999999</v>
      </c>
      <c r="E511" s="52">
        <v>1000.7483999999999</v>
      </c>
      <c r="F511" s="52">
        <v>0</v>
      </c>
      <c r="G511" s="52">
        <v>1334.3312000000001</v>
      </c>
      <c r="H511" s="52">
        <v>667.16560000000004</v>
      </c>
      <c r="I511" s="52">
        <v>1334.3312000000001</v>
      </c>
      <c r="J511" s="52">
        <v>376.08229999999998</v>
      </c>
      <c r="K511" s="52">
        <v>1128.2470000000001</v>
      </c>
      <c r="L511" s="52">
        <v>376.08229999999998</v>
      </c>
      <c r="M511" s="52">
        <v>376.08229999999998</v>
      </c>
      <c r="N511" s="5" t="s">
        <v>69</v>
      </c>
    </row>
    <row r="512" spans="1:14" x14ac:dyDescent="0.25">
      <c r="A512" s="50">
        <v>1.3009999999999999</v>
      </c>
      <c r="B512" s="52">
        <v>7597.9242999999997</v>
      </c>
      <c r="C512" s="52">
        <v>0</v>
      </c>
      <c r="D512" s="52">
        <v>1001.5182</v>
      </c>
      <c r="E512" s="52">
        <v>1001.5182</v>
      </c>
      <c r="F512" s="52">
        <v>0</v>
      </c>
      <c r="G512" s="52">
        <v>1335.3576</v>
      </c>
      <c r="H512" s="52">
        <v>667.67880000000002</v>
      </c>
      <c r="I512" s="52">
        <v>1335.3576</v>
      </c>
      <c r="J512" s="52">
        <v>376.08229999999998</v>
      </c>
      <c r="K512" s="52">
        <v>1128.2470000000001</v>
      </c>
      <c r="L512" s="52">
        <v>376.08229999999998</v>
      </c>
      <c r="M512" s="52">
        <v>376.08229999999998</v>
      </c>
      <c r="N512" s="5" t="s">
        <v>69</v>
      </c>
    </row>
    <row r="513" spans="1:14" x14ac:dyDescent="0.25">
      <c r="A513" s="50">
        <v>1.302</v>
      </c>
      <c r="B513" s="52">
        <v>7602.0299000000005</v>
      </c>
      <c r="C513" s="52">
        <v>0</v>
      </c>
      <c r="D513" s="52">
        <v>1002.288</v>
      </c>
      <c r="E513" s="52">
        <v>1002.288</v>
      </c>
      <c r="F513" s="52">
        <v>0</v>
      </c>
      <c r="G513" s="52">
        <v>1336.384</v>
      </c>
      <c r="H513" s="52">
        <v>668.19200000000001</v>
      </c>
      <c r="I513" s="52">
        <v>1336.384</v>
      </c>
      <c r="J513" s="52">
        <v>376.08229999999998</v>
      </c>
      <c r="K513" s="52">
        <v>1128.2470000000001</v>
      </c>
      <c r="L513" s="52">
        <v>376.08229999999998</v>
      </c>
      <c r="M513" s="52">
        <v>376.08229999999998</v>
      </c>
      <c r="N513" s="5" t="s">
        <v>69</v>
      </c>
    </row>
    <row r="514" spans="1:14" x14ac:dyDescent="0.25">
      <c r="A514" s="50">
        <v>1.3029999999999999</v>
      </c>
      <c r="B514" s="52">
        <v>7606.1355000000003</v>
      </c>
      <c r="C514" s="52">
        <v>0</v>
      </c>
      <c r="D514" s="52">
        <v>1003.0578</v>
      </c>
      <c r="E514" s="52">
        <v>1003.0578</v>
      </c>
      <c r="F514" s="52">
        <v>0</v>
      </c>
      <c r="G514" s="52">
        <v>1337.4104</v>
      </c>
      <c r="H514" s="52">
        <v>668.70519999999999</v>
      </c>
      <c r="I514" s="52">
        <v>1337.4104</v>
      </c>
      <c r="J514" s="52">
        <v>376.08229999999998</v>
      </c>
      <c r="K514" s="52">
        <v>1128.2470000000001</v>
      </c>
      <c r="L514" s="52">
        <v>376.08229999999998</v>
      </c>
      <c r="M514" s="52">
        <v>376.08229999999998</v>
      </c>
      <c r="N514" s="5" t="s">
        <v>69</v>
      </c>
    </row>
    <row r="515" spans="1:14" x14ac:dyDescent="0.25">
      <c r="A515" s="50">
        <v>1.304</v>
      </c>
      <c r="B515" s="52">
        <v>7610.2412000000004</v>
      </c>
      <c r="C515" s="52">
        <v>0</v>
      </c>
      <c r="D515" s="52">
        <v>1003.8276</v>
      </c>
      <c r="E515" s="52">
        <v>1003.8276</v>
      </c>
      <c r="F515" s="52">
        <v>0</v>
      </c>
      <c r="G515" s="52">
        <v>1338.4367999999999</v>
      </c>
      <c r="H515" s="52">
        <v>669.21839999999997</v>
      </c>
      <c r="I515" s="52">
        <v>1338.4367999999999</v>
      </c>
      <c r="J515" s="52">
        <v>376.08229999999998</v>
      </c>
      <c r="K515" s="52">
        <v>1128.2470000000001</v>
      </c>
      <c r="L515" s="52">
        <v>376.08229999999998</v>
      </c>
      <c r="M515" s="52">
        <v>376.08229999999998</v>
      </c>
      <c r="N515" s="5" t="s">
        <v>69</v>
      </c>
    </row>
    <row r="516" spans="1:14" x14ac:dyDescent="0.25">
      <c r="A516" s="50">
        <v>1.3049999999999999</v>
      </c>
      <c r="B516" s="52">
        <v>7614.3468000000003</v>
      </c>
      <c r="C516" s="52">
        <v>0</v>
      </c>
      <c r="D516" s="52">
        <v>1004.5974</v>
      </c>
      <c r="E516" s="52">
        <v>1004.5974</v>
      </c>
      <c r="F516" s="52">
        <v>0</v>
      </c>
      <c r="G516" s="52">
        <v>1339.4631999999999</v>
      </c>
      <c r="H516" s="52">
        <v>669.73159999999996</v>
      </c>
      <c r="I516" s="52">
        <v>1339.4631999999999</v>
      </c>
      <c r="J516" s="52">
        <v>376.08229999999998</v>
      </c>
      <c r="K516" s="52">
        <v>1128.2470000000001</v>
      </c>
      <c r="L516" s="52">
        <v>376.08229999999998</v>
      </c>
      <c r="M516" s="52">
        <v>376.08229999999998</v>
      </c>
      <c r="N516" s="5" t="s">
        <v>69</v>
      </c>
    </row>
    <row r="517" spans="1:14" x14ac:dyDescent="0.25">
      <c r="A517" s="50">
        <v>1.306</v>
      </c>
      <c r="B517" s="52">
        <v>7618.4524000000001</v>
      </c>
      <c r="C517" s="52">
        <v>0</v>
      </c>
      <c r="D517" s="52">
        <v>1005.3672</v>
      </c>
      <c r="E517" s="52">
        <v>1005.3672</v>
      </c>
      <c r="F517" s="52">
        <v>0</v>
      </c>
      <c r="G517" s="52">
        <v>1340.4896000000001</v>
      </c>
      <c r="H517" s="52">
        <v>670.24480000000005</v>
      </c>
      <c r="I517" s="52">
        <v>1340.4896000000001</v>
      </c>
      <c r="J517" s="52">
        <v>376.08229999999998</v>
      </c>
      <c r="K517" s="52">
        <v>1128.2470000000001</v>
      </c>
      <c r="L517" s="52">
        <v>376.08229999999998</v>
      </c>
      <c r="M517" s="52">
        <v>376.08229999999998</v>
      </c>
      <c r="N517" s="5" t="s">
        <v>69</v>
      </c>
    </row>
    <row r="518" spans="1:14" x14ac:dyDescent="0.25">
      <c r="A518" s="50">
        <v>1.3069999999999999</v>
      </c>
      <c r="B518" s="52">
        <v>7622.5581000000002</v>
      </c>
      <c r="C518" s="52">
        <v>0</v>
      </c>
      <c r="D518" s="52">
        <v>1006.1369999999999</v>
      </c>
      <c r="E518" s="52">
        <v>1006.1369999999999</v>
      </c>
      <c r="F518" s="52">
        <v>0</v>
      </c>
      <c r="G518" s="52">
        <v>1341.5160000000001</v>
      </c>
      <c r="H518" s="52">
        <v>670.75800000000004</v>
      </c>
      <c r="I518" s="52">
        <v>1341.5160000000001</v>
      </c>
      <c r="J518" s="52">
        <v>376.08229999999998</v>
      </c>
      <c r="K518" s="52">
        <v>1128.2470000000001</v>
      </c>
      <c r="L518" s="52">
        <v>376.08229999999998</v>
      </c>
      <c r="M518" s="52">
        <v>376.08229999999998</v>
      </c>
      <c r="N518" s="5" t="s">
        <v>69</v>
      </c>
    </row>
    <row r="519" spans="1:14" x14ac:dyDescent="0.25">
      <c r="A519" s="50">
        <v>1.3080000000000001</v>
      </c>
      <c r="B519" s="52">
        <v>7626.6637000000001</v>
      </c>
      <c r="C519" s="52">
        <v>0</v>
      </c>
      <c r="D519" s="52">
        <v>1006.9068</v>
      </c>
      <c r="E519" s="52">
        <v>1006.9068</v>
      </c>
      <c r="F519" s="52">
        <v>0</v>
      </c>
      <c r="G519" s="52">
        <v>1342.5424</v>
      </c>
      <c r="H519" s="52">
        <v>671.27120000000002</v>
      </c>
      <c r="I519" s="52">
        <v>1342.5424</v>
      </c>
      <c r="J519" s="52">
        <v>376.08229999999998</v>
      </c>
      <c r="K519" s="52">
        <v>1128.2470000000001</v>
      </c>
      <c r="L519" s="52">
        <v>376.08229999999998</v>
      </c>
      <c r="M519" s="52">
        <v>376.08229999999998</v>
      </c>
      <c r="N519" s="5" t="s">
        <v>69</v>
      </c>
    </row>
    <row r="520" spans="1:14" x14ac:dyDescent="0.25">
      <c r="A520" s="50">
        <v>1.3089999999999999</v>
      </c>
      <c r="B520" s="52">
        <v>7630.7692999999999</v>
      </c>
      <c r="C520" s="52">
        <v>0</v>
      </c>
      <c r="D520" s="52">
        <v>1007.6766</v>
      </c>
      <c r="E520" s="52">
        <v>1007.6766</v>
      </c>
      <c r="F520" s="52">
        <v>0</v>
      </c>
      <c r="G520" s="52">
        <v>1343.5688</v>
      </c>
      <c r="H520" s="52">
        <v>671.78440000000001</v>
      </c>
      <c r="I520" s="52">
        <v>1343.5688</v>
      </c>
      <c r="J520" s="52">
        <v>376.08229999999998</v>
      </c>
      <c r="K520" s="52">
        <v>1128.2470000000001</v>
      </c>
      <c r="L520" s="52">
        <v>376.08229999999998</v>
      </c>
      <c r="M520" s="52">
        <v>376.08229999999998</v>
      </c>
      <c r="N520" s="5" t="s">
        <v>69</v>
      </c>
    </row>
    <row r="521" spans="1:14" x14ac:dyDescent="0.25">
      <c r="A521" s="50">
        <v>1.31</v>
      </c>
      <c r="B521" s="52">
        <v>7634.875</v>
      </c>
      <c r="C521" s="52">
        <v>0</v>
      </c>
      <c r="D521" s="52">
        <v>1008.4464</v>
      </c>
      <c r="E521" s="52">
        <v>1008.4464</v>
      </c>
      <c r="F521" s="52">
        <v>0</v>
      </c>
      <c r="G521" s="52">
        <v>1344.5952</v>
      </c>
      <c r="H521" s="52">
        <v>672.29759999999999</v>
      </c>
      <c r="I521" s="52">
        <v>1344.5952</v>
      </c>
      <c r="J521" s="52">
        <v>376.08229999999998</v>
      </c>
      <c r="K521" s="52">
        <v>1128.2470000000001</v>
      </c>
      <c r="L521" s="52">
        <v>376.08229999999998</v>
      </c>
      <c r="M521" s="52">
        <v>376.08229999999998</v>
      </c>
      <c r="N521" s="5" t="s">
        <v>69</v>
      </c>
    </row>
    <row r="522" spans="1:14" x14ac:dyDescent="0.25">
      <c r="A522" s="50">
        <v>1.3109999999999999</v>
      </c>
      <c r="B522" s="52">
        <v>7638.9805999999999</v>
      </c>
      <c r="C522" s="52">
        <v>0</v>
      </c>
      <c r="D522" s="52">
        <v>1009.2162</v>
      </c>
      <c r="E522" s="52">
        <v>1009.2162</v>
      </c>
      <c r="F522" s="52">
        <v>0</v>
      </c>
      <c r="G522" s="52">
        <v>1345.6216999999999</v>
      </c>
      <c r="H522" s="52">
        <v>672.81079999999997</v>
      </c>
      <c r="I522" s="52">
        <v>1345.6216999999999</v>
      </c>
      <c r="J522" s="52">
        <v>376.08229999999998</v>
      </c>
      <c r="K522" s="52">
        <v>1128.2470000000001</v>
      </c>
      <c r="L522" s="52">
        <v>376.08229999999998</v>
      </c>
      <c r="M522" s="52">
        <v>376.08229999999998</v>
      </c>
      <c r="N522" s="5" t="s">
        <v>69</v>
      </c>
    </row>
    <row r="523" spans="1:14" x14ac:dyDescent="0.25">
      <c r="A523" s="50">
        <v>1.3120000000000001</v>
      </c>
      <c r="B523" s="52">
        <v>7643.0862999999999</v>
      </c>
      <c r="C523" s="52">
        <v>0</v>
      </c>
      <c r="D523" s="52">
        <v>1009.986</v>
      </c>
      <c r="E523" s="52">
        <v>1009.986</v>
      </c>
      <c r="F523" s="52">
        <v>0</v>
      </c>
      <c r="G523" s="52">
        <v>1346.6481000000001</v>
      </c>
      <c r="H523" s="52">
        <v>673.32399999999996</v>
      </c>
      <c r="I523" s="52">
        <v>1346.6481000000001</v>
      </c>
      <c r="J523" s="52">
        <v>376.08229999999998</v>
      </c>
      <c r="K523" s="52">
        <v>1128.2470000000001</v>
      </c>
      <c r="L523" s="52">
        <v>376.08229999999998</v>
      </c>
      <c r="M523" s="52">
        <v>376.08229999999998</v>
      </c>
      <c r="N523" s="5" t="s">
        <v>69</v>
      </c>
    </row>
    <row r="524" spans="1:14" x14ac:dyDescent="0.25">
      <c r="A524" s="50">
        <v>1.3129999999999999</v>
      </c>
      <c r="B524" s="52">
        <v>7647.1918999999998</v>
      </c>
      <c r="C524" s="52">
        <v>0</v>
      </c>
      <c r="D524" s="52">
        <v>1010.7559</v>
      </c>
      <c r="E524" s="52">
        <v>1010.7559</v>
      </c>
      <c r="F524" s="52">
        <v>0</v>
      </c>
      <c r="G524" s="52">
        <v>1347.6745000000001</v>
      </c>
      <c r="H524" s="52">
        <v>673.83720000000005</v>
      </c>
      <c r="I524" s="52">
        <v>1347.6745000000001</v>
      </c>
      <c r="J524" s="52">
        <v>376.08229999999998</v>
      </c>
      <c r="K524" s="52">
        <v>1128.2470000000001</v>
      </c>
      <c r="L524" s="52">
        <v>376.08229999999998</v>
      </c>
      <c r="M524" s="52">
        <v>376.08229999999998</v>
      </c>
      <c r="N524" s="5" t="s">
        <v>69</v>
      </c>
    </row>
    <row r="525" spans="1:14" x14ac:dyDescent="0.25">
      <c r="A525" s="50">
        <v>1.3140000000000001</v>
      </c>
      <c r="B525" s="52">
        <v>7651.2974999999997</v>
      </c>
      <c r="C525" s="52">
        <v>0</v>
      </c>
      <c r="D525" s="52">
        <v>1011.5257</v>
      </c>
      <c r="E525" s="52">
        <v>1011.5257</v>
      </c>
      <c r="F525" s="52">
        <v>0</v>
      </c>
      <c r="G525" s="52">
        <v>1348.7009</v>
      </c>
      <c r="H525" s="52">
        <v>674.35040000000004</v>
      </c>
      <c r="I525" s="52">
        <v>1348.7009</v>
      </c>
      <c r="J525" s="52">
        <v>376.08229999999998</v>
      </c>
      <c r="K525" s="52">
        <v>1128.2470000000001</v>
      </c>
      <c r="L525" s="52">
        <v>376.08229999999998</v>
      </c>
      <c r="M525" s="52">
        <v>376.08229999999998</v>
      </c>
      <c r="N525" s="5" t="s">
        <v>69</v>
      </c>
    </row>
    <row r="526" spans="1:14" x14ac:dyDescent="0.25">
      <c r="A526" s="50">
        <v>1.3149999999999999</v>
      </c>
      <c r="B526" s="52">
        <v>7655.4031999999997</v>
      </c>
      <c r="C526" s="52">
        <v>0</v>
      </c>
      <c r="D526" s="52">
        <v>1012.2954999999999</v>
      </c>
      <c r="E526" s="52">
        <v>1012.2954999999999</v>
      </c>
      <c r="F526" s="52">
        <v>0</v>
      </c>
      <c r="G526" s="52">
        <v>1349.7273</v>
      </c>
      <c r="H526" s="52">
        <v>674.86360000000002</v>
      </c>
      <c r="I526" s="52">
        <v>1349.7273</v>
      </c>
      <c r="J526" s="52">
        <v>376.08229999999998</v>
      </c>
      <c r="K526" s="52">
        <v>1128.2470000000001</v>
      </c>
      <c r="L526" s="52">
        <v>376.08229999999998</v>
      </c>
      <c r="M526" s="52">
        <v>376.08229999999998</v>
      </c>
      <c r="N526" s="5" t="s">
        <v>69</v>
      </c>
    </row>
    <row r="527" spans="1:14" x14ac:dyDescent="0.25">
      <c r="A527" s="50">
        <v>1.3160000000000001</v>
      </c>
      <c r="B527" s="52">
        <v>7659.5087999999996</v>
      </c>
      <c r="C527" s="52">
        <v>0</v>
      </c>
      <c r="D527" s="52">
        <v>1013.0653</v>
      </c>
      <c r="E527" s="52">
        <v>1013.0653</v>
      </c>
      <c r="F527" s="52">
        <v>0</v>
      </c>
      <c r="G527" s="52">
        <v>1350.7537</v>
      </c>
      <c r="H527" s="52">
        <v>675.3768</v>
      </c>
      <c r="I527" s="52">
        <v>1350.7537</v>
      </c>
      <c r="J527" s="52">
        <v>376.08229999999998</v>
      </c>
      <c r="K527" s="52">
        <v>1128.2470000000001</v>
      </c>
      <c r="L527" s="52">
        <v>376.08229999999998</v>
      </c>
      <c r="M527" s="52">
        <v>376.08229999999998</v>
      </c>
      <c r="N527" s="5" t="s">
        <v>69</v>
      </c>
    </row>
    <row r="528" spans="1:14" x14ac:dyDescent="0.25">
      <c r="A528" s="50">
        <v>1.3169999999999999</v>
      </c>
      <c r="B528" s="52">
        <v>7663.6144000000004</v>
      </c>
      <c r="C528" s="52">
        <v>0</v>
      </c>
      <c r="D528" s="52">
        <v>1013.8351</v>
      </c>
      <c r="E528" s="52">
        <v>1013.8351</v>
      </c>
      <c r="F528" s="52">
        <v>0</v>
      </c>
      <c r="G528" s="52">
        <v>1351.7800999999999</v>
      </c>
      <c r="H528" s="52">
        <v>675.89009999999996</v>
      </c>
      <c r="I528" s="52">
        <v>1351.7800999999999</v>
      </c>
      <c r="J528" s="52">
        <v>376.08229999999998</v>
      </c>
      <c r="K528" s="52">
        <v>1128.2470000000001</v>
      </c>
      <c r="L528" s="52">
        <v>376.08229999999998</v>
      </c>
      <c r="M528" s="52">
        <v>376.08229999999998</v>
      </c>
      <c r="N528" s="5" t="s">
        <v>69</v>
      </c>
    </row>
    <row r="529" spans="1:14" x14ac:dyDescent="0.25">
      <c r="A529" s="50">
        <v>1.3180000000000001</v>
      </c>
      <c r="B529" s="52">
        <v>7667.7200999999995</v>
      </c>
      <c r="C529" s="52">
        <v>0</v>
      </c>
      <c r="D529" s="52">
        <v>1014.6049</v>
      </c>
      <c r="E529" s="52">
        <v>1014.6049</v>
      </c>
      <c r="F529" s="52">
        <v>0</v>
      </c>
      <c r="G529" s="52">
        <v>1352.8064999999999</v>
      </c>
      <c r="H529" s="52">
        <v>676.40329999999994</v>
      </c>
      <c r="I529" s="52">
        <v>1352.8064999999999</v>
      </c>
      <c r="J529" s="52">
        <v>376.08229999999998</v>
      </c>
      <c r="K529" s="52">
        <v>1128.2470000000001</v>
      </c>
      <c r="L529" s="52">
        <v>376.08229999999998</v>
      </c>
      <c r="M529" s="52">
        <v>376.08229999999998</v>
      </c>
      <c r="N529" s="5" t="s">
        <v>69</v>
      </c>
    </row>
    <row r="530" spans="1:14" x14ac:dyDescent="0.25">
      <c r="A530" s="50">
        <v>1.319</v>
      </c>
      <c r="B530" s="52">
        <v>7671.8257000000003</v>
      </c>
      <c r="C530" s="52">
        <v>0</v>
      </c>
      <c r="D530" s="52">
        <v>1015.3747</v>
      </c>
      <c r="E530" s="52">
        <v>1015.3747</v>
      </c>
      <c r="F530" s="52">
        <v>0</v>
      </c>
      <c r="G530" s="52">
        <v>1353.8329000000001</v>
      </c>
      <c r="H530" s="52">
        <v>676.91650000000004</v>
      </c>
      <c r="I530" s="52">
        <v>1353.8329000000001</v>
      </c>
      <c r="J530" s="52">
        <v>376.08229999999998</v>
      </c>
      <c r="K530" s="52">
        <v>1128.2470000000001</v>
      </c>
      <c r="L530" s="52">
        <v>376.08229999999998</v>
      </c>
      <c r="M530" s="52">
        <v>376.08229999999998</v>
      </c>
      <c r="N530" s="5" t="s">
        <v>69</v>
      </c>
    </row>
    <row r="531" spans="1:14" x14ac:dyDescent="0.25">
      <c r="A531" s="50">
        <v>1.32</v>
      </c>
      <c r="B531" s="52">
        <v>7675.9313000000002</v>
      </c>
      <c r="C531" s="52">
        <v>0</v>
      </c>
      <c r="D531" s="52">
        <v>1016.1445</v>
      </c>
      <c r="E531" s="52">
        <v>1016.1445</v>
      </c>
      <c r="F531" s="52">
        <v>0</v>
      </c>
      <c r="G531" s="52">
        <v>1354.8593000000001</v>
      </c>
      <c r="H531" s="52">
        <v>677.42970000000003</v>
      </c>
      <c r="I531" s="52">
        <v>1354.8593000000001</v>
      </c>
      <c r="J531" s="52">
        <v>376.08229999999998</v>
      </c>
      <c r="K531" s="52">
        <v>1128.2470000000001</v>
      </c>
      <c r="L531" s="52">
        <v>376.08229999999998</v>
      </c>
      <c r="M531" s="52">
        <v>376.08229999999998</v>
      </c>
      <c r="N531" s="5" t="s">
        <v>69</v>
      </c>
    </row>
    <row r="532" spans="1:14" x14ac:dyDescent="0.25">
      <c r="A532" s="50">
        <v>1.321</v>
      </c>
      <c r="B532" s="52">
        <v>7680.0370000000003</v>
      </c>
      <c r="C532" s="52">
        <v>0</v>
      </c>
      <c r="D532" s="52">
        <v>1016.9143</v>
      </c>
      <c r="E532" s="52">
        <v>1016.9143</v>
      </c>
      <c r="F532" s="52">
        <v>0</v>
      </c>
      <c r="G532" s="52">
        <v>1355.8857</v>
      </c>
      <c r="H532" s="52">
        <v>677.94290000000001</v>
      </c>
      <c r="I532" s="52">
        <v>1355.8857</v>
      </c>
      <c r="J532" s="52">
        <v>376.08229999999998</v>
      </c>
      <c r="K532" s="52">
        <v>1128.2470000000001</v>
      </c>
      <c r="L532" s="52">
        <v>376.08229999999998</v>
      </c>
      <c r="M532" s="52">
        <v>376.08229999999998</v>
      </c>
      <c r="N532" s="5" t="s">
        <v>69</v>
      </c>
    </row>
    <row r="533" spans="1:14" x14ac:dyDescent="0.25">
      <c r="A533" s="50">
        <v>1.3220000000000001</v>
      </c>
      <c r="B533" s="52">
        <v>7684.1426000000001</v>
      </c>
      <c r="C533" s="52">
        <v>0</v>
      </c>
      <c r="D533" s="52">
        <v>1017.6840999999999</v>
      </c>
      <c r="E533" s="52">
        <v>1017.6840999999999</v>
      </c>
      <c r="F533" s="52">
        <v>0</v>
      </c>
      <c r="G533" s="52">
        <v>1356.9122</v>
      </c>
      <c r="H533" s="52">
        <v>678.45609999999999</v>
      </c>
      <c r="I533" s="52">
        <v>1356.9122</v>
      </c>
      <c r="J533" s="52">
        <v>376.08229999999998</v>
      </c>
      <c r="K533" s="52">
        <v>1128.2470000000001</v>
      </c>
      <c r="L533" s="52">
        <v>376.08229999999998</v>
      </c>
      <c r="M533" s="52">
        <v>376.08229999999998</v>
      </c>
      <c r="N533" s="5" t="s">
        <v>69</v>
      </c>
    </row>
    <row r="534" spans="1:14" x14ac:dyDescent="0.25">
      <c r="A534" s="50">
        <v>1.323</v>
      </c>
      <c r="B534" s="52">
        <v>7688.2482</v>
      </c>
      <c r="C534" s="52">
        <v>0</v>
      </c>
      <c r="D534" s="52">
        <v>1018.4539</v>
      </c>
      <c r="E534" s="52">
        <v>1018.4539</v>
      </c>
      <c r="F534" s="52">
        <v>0</v>
      </c>
      <c r="G534" s="52">
        <v>1357.9386</v>
      </c>
      <c r="H534" s="52">
        <v>678.96929999999998</v>
      </c>
      <c r="I534" s="52">
        <v>1357.9386</v>
      </c>
      <c r="J534" s="52">
        <v>376.08229999999998</v>
      </c>
      <c r="K534" s="52">
        <v>1128.2470000000001</v>
      </c>
      <c r="L534" s="52">
        <v>376.08229999999998</v>
      </c>
      <c r="M534" s="52">
        <v>376.08229999999998</v>
      </c>
      <c r="N534" s="5" t="s">
        <v>69</v>
      </c>
    </row>
    <row r="535" spans="1:14" x14ac:dyDescent="0.25">
      <c r="A535" s="50">
        <v>1.3240000000000001</v>
      </c>
      <c r="B535" s="52">
        <v>7692.3539000000001</v>
      </c>
      <c r="C535" s="52">
        <v>0</v>
      </c>
      <c r="D535" s="52">
        <v>1019.2237</v>
      </c>
      <c r="E535" s="52">
        <v>1019.2237</v>
      </c>
      <c r="F535" s="52">
        <v>0</v>
      </c>
      <c r="G535" s="52">
        <v>1358.9649999999999</v>
      </c>
      <c r="H535" s="52">
        <v>679.48249999999996</v>
      </c>
      <c r="I535" s="52">
        <v>1358.9649999999999</v>
      </c>
      <c r="J535" s="52">
        <v>376.08229999999998</v>
      </c>
      <c r="K535" s="52">
        <v>1128.2470000000001</v>
      </c>
      <c r="L535" s="52">
        <v>376.08229999999998</v>
      </c>
      <c r="M535" s="52">
        <v>376.08229999999998</v>
      </c>
      <c r="N535" s="5" t="s">
        <v>69</v>
      </c>
    </row>
    <row r="536" spans="1:14" x14ac:dyDescent="0.25">
      <c r="A536" s="50">
        <v>1.325</v>
      </c>
      <c r="B536" s="52">
        <v>7696.4594999999999</v>
      </c>
      <c r="C536" s="52">
        <v>0</v>
      </c>
      <c r="D536" s="52">
        <v>1019.9935</v>
      </c>
      <c r="E536" s="52">
        <v>1019.9935</v>
      </c>
      <c r="F536" s="52">
        <v>0</v>
      </c>
      <c r="G536" s="52">
        <v>1359.9914000000001</v>
      </c>
      <c r="H536" s="52">
        <v>679.99570000000006</v>
      </c>
      <c r="I536" s="52">
        <v>1359.9914000000001</v>
      </c>
      <c r="J536" s="52">
        <v>376.08229999999998</v>
      </c>
      <c r="K536" s="52">
        <v>1128.2470000000001</v>
      </c>
      <c r="L536" s="52">
        <v>376.08229999999998</v>
      </c>
      <c r="M536" s="52">
        <v>376.08229999999998</v>
      </c>
      <c r="N536" s="5" t="s">
        <v>69</v>
      </c>
    </row>
    <row r="537" spans="1:14" x14ac:dyDescent="0.25">
      <c r="A537" s="50">
        <v>1.3260000000000001</v>
      </c>
      <c r="B537" s="52">
        <v>7700.5650999999998</v>
      </c>
      <c r="C537" s="52">
        <v>0</v>
      </c>
      <c r="D537" s="52">
        <v>1020.7633</v>
      </c>
      <c r="E537" s="52">
        <v>1020.7633</v>
      </c>
      <c r="F537" s="52">
        <v>0</v>
      </c>
      <c r="G537" s="52">
        <v>1361.0178000000001</v>
      </c>
      <c r="H537" s="52">
        <v>680.50890000000004</v>
      </c>
      <c r="I537" s="52">
        <v>1361.0178000000001</v>
      </c>
      <c r="J537" s="52">
        <v>376.08229999999998</v>
      </c>
      <c r="K537" s="52">
        <v>1128.2470000000001</v>
      </c>
      <c r="L537" s="52">
        <v>376.08229999999998</v>
      </c>
      <c r="M537" s="52">
        <v>376.08229999999998</v>
      </c>
      <c r="N537" s="5" t="s">
        <v>69</v>
      </c>
    </row>
    <row r="538" spans="1:14" x14ac:dyDescent="0.25">
      <c r="A538" s="50">
        <v>1.327</v>
      </c>
      <c r="B538" s="52">
        <v>7704.6707999999999</v>
      </c>
      <c r="C538" s="52">
        <v>0</v>
      </c>
      <c r="D538" s="52">
        <v>1021.5331</v>
      </c>
      <c r="E538" s="52">
        <v>1021.5331</v>
      </c>
      <c r="F538" s="52">
        <v>0</v>
      </c>
      <c r="G538" s="52">
        <v>1362.0442</v>
      </c>
      <c r="H538" s="52">
        <v>681.02210000000002</v>
      </c>
      <c r="I538" s="52">
        <v>1362.0442</v>
      </c>
      <c r="J538" s="52">
        <v>376.08229999999998</v>
      </c>
      <c r="K538" s="52">
        <v>1128.2470000000001</v>
      </c>
      <c r="L538" s="52">
        <v>376.08229999999998</v>
      </c>
      <c r="M538" s="52">
        <v>376.08229999999998</v>
      </c>
      <c r="N538" s="5" t="s">
        <v>69</v>
      </c>
    </row>
    <row r="539" spans="1:14" x14ac:dyDescent="0.25">
      <c r="A539" s="50">
        <v>1.3280000000000001</v>
      </c>
      <c r="B539" s="52">
        <v>7708.7763999999997</v>
      </c>
      <c r="C539" s="52">
        <v>0</v>
      </c>
      <c r="D539" s="52">
        <v>1022.303</v>
      </c>
      <c r="E539" s="52">
        <v>1022.303</v>
      </c>
      <c r="F539" s="52">
        <v>0</v>
      </c>
      <c r="G539" s="52">
        <v>1363.0706</v>
      </c>
      <c r="H539" s="52">
        <v>681.53530000000001</v>
      </c>
      <c r="I539" s="52">
        <v>1363.0706</v>
      </c>
      <c r="J539" s="52">
        <v>376.08229999999998</v>
      </c>
      <c r="K539" s="52">
        <v>1128.2470000000001</v>
      </c>
      <c r="L539" s="52">
        <v>376.08229999999998</v>
      </c>
      <c r="M539" s="52">
        <v>376.08229999999998</v>
      </c>
      <c r="N539" s="5" t="s">
        <v>69</v>
      </c>
    </row>
    <row r="540" spans="1:14" x14ac:dyDescent="0.25">
      <c r="A540" s="50">
        <v>1.329</v>
      </c>
      <c r="B540" s="52">
        <v>7712.8819999999996</v>
      </c>
      <c r="C540" s="52">
        <v>0</v>
      </c>
      <c r="D540" s="52">
        <v>1023.0728</v>
      </c>
      <c r="E540" s="52">
        <v>1023.0728</v>
      </c>
      <c r="F540" s="52">
        <v>0</v>
      </c>
      <c r="G540" s="52">
        <v>1364.097</v>
      </c>
      <c r="H540" s="52">
        <v>682.04849999999999</v>
      </c>
      <c r="I540" s="52">
        <v>1364.097</v>
      </c>
      <c r="J540" s="52">
        <v>376.08229999999998</v>
      </c>
      <c r="K540" s="52">
        <v>1128.2470000000001</v>
      </c>
      <c r="L540" s="52">
        <v>376.08229999999998</v>
      </c>
      <c r="M540" s="52">
        <v>376.08229999999998</v>
      </c>
      <c r="N540" s="5" t="s">
        <v>69</v>
      </c>
    </row>
    <row r="541" spans="1:14" x14ac:dyDescent="0.25">
      <c r="A541" s="50">
        <v>1.33</v>
      </c>
      <c r="B541" s="52">
        <v>7716.9876999999997</v>
      </c>
      <c r="C541" s="52">
        <v>0</v>
      </c>
      <c r="D541" s="52">
        <v>1023.8425999999999</v>
      </c>
      <c r="E541" s="52">
        <v>1023.8425999999999</v>
      </c>
      <c r="F541" s="52">
        <v>0</v>
      </c>
      <c r="G541" s="52">
        <v>1365.1233999999999</v>
      </c>
      <c r="H541" s="52">
        <v>682.56169999999997</v>
      </c>
      <c r="I541" s="52">
        <v>1365.1233999999999</v>
      </c>
      <c r="J541" s="52">
        <v>376.08229999999998</v>
      </c>
      <c r="K541" s="52">
        <v>1128.2470000000001</v>
      </c>
      <c r="L541" s="52">
        <v>376.08229999999998</v>
      </c>
      <c r="M541" s="52">
        <v>376.08229999999998</v>
      </c>
      <c r="N541" s="5" t="s">
        <v>69</v>
      </c>
    </row>
    <row r="542" spans="1:14" x14ac:dyDescent="0.25">
      <c r="A542" s="50">
        <v>1.331</v>
      </c>
      <c r="B542" s="52">
        <v>7721.0933000000005</v>
      </c>
      <c r="C542" s="52">
        <v>0</v>
      </c>
      <c r="D542" s="52">
        <v>1024.6124</v>
      </c>
      <c r="E542" s="52">
        <v>1024.6124</v>
      </c>
      <c r="F542" s="52">
        <v>0</v>
      </c>
      <c r="G542" s="52">
        <v>1366.1497999999999</v>
      </c>
      <c r="H542" s="52">
        <v>683.07489999999996</v>
      </c>
      <c r="I542" s="52">
        <v>1366.1497999999999</v>
      </c>
      <c r="J542" s="52">
        <v>376.08229999999998</v>
      </c>
      <c r="K542" s="52">
        <v>1128.2470000000001</v>
      </c>
      <c r="L542" s="52">
        <v>376.08229999999998</v>
      </c>
      <c r="M542" s="52">
        <v>376.08229999999998</v>
      </c>
      <c r="N542" s="5" t="s">
        <v>69</v>
      </c>
    </row>
    <row r="543" spans="1:14" x14ac:dyDescent="0.25">
      <c r="A543" s="50">
        <v>1.3320000000000001</v>
      </c>
      <c r="B543" s="52">
        <v>7725.1989000000003</v>
      </c>
      <c r="C543" s="52">
        <v>0</v>
      </c>
      <c r="D543" s="52">
        <v>1025.3822</v>
      </c>
      <c r="E543" s="52">
        <v>1025.3822</v>
      </c>
      <c r="F543" s="52">
        <v>0</v>
      </c>
      <c r="G543" s="52">
        <v>1367.1762000000001</v>
      </c>
      <c r="H543" s="52">
        <v>683.58810000000005</v>
      </c>
      <c r="I543" s="52">
        <v>1367.1762000000001</v>
      </c>
      <c r="J543" s="52">
        <v>376.08229999999998</v>
      </c>
      <c r="K543" s="52">
        <v>1128.2470000000001</v>
      </c>
      <c r="L543" s="52">
        <v>376.08229999999998</v>
      </c>
      <c r="M543" s="52">
        <v>376.08229999999998</v>
      </c>
      <c r="N543" s="5" t="s">
        <v>69</v>
      </c>
    </row>
    <row r="544" spans="1:14" x14ac:dyDescent="0.25">
      <c r="A544" s="50">
        <v>1.333</v>
      </c>
      <c r="B544" s="52">
        <v>7729.3046000000004</v>
      </c>
      <c r="C544" s="52">
        <v>0</v>
      </c>
      <c r="D544" s="52">
        <v>1026.152</v>
      </c>
      <c r="E544" s="52">
        <v>1026.152</v>
      </c>
      <c r="F544" s="52">
        <v>0</v>
      </c>
      <c r="G544" s="52">
        <v>1368.2026000000001</v>
      </c>
      <c r="H544" s="52">
        <v>684.10130000000004</v>
      </c>
      <c r="I544" s="52">
        <v>1368.2026000000001</v>
      </c>
      <c r="J544" s="52">
        <v>376.08229999999998</v>
      </c>
      <c r="K544" s="52">
        <v>1128.2470000000001</v>
      </c>
      <c r="L544" s="52">
        <v>376.08229999999998</v>
      </c>
      <c r="M544" s="52">
        <v>376.08229999999998</v>
      </c>
      <c r="N544" s="5" t="s">
        <v>69</v>
      </c>
    </row>
    <row r="545" spans="1:14" x14ac:dyDescent="0.25">
      <c r="A545" s="50">
        <v>1.3340000000000001</v>
      </c>
      <c r="B545" s="52">
        <v>7733.4102000000003</v>
      </c>
      <c r="C545" s="52">
        <v>0</v>
      </c>
      <c r="D545" s="52">
        <v>1026.9218000000001</v>
      </c>
      <c r="E545" s="52">
        <v>1026.9218000000001</v>
      </c>
      <c r="F545" s="52">
        <v>0</v>
      </c>
      <c r="G545" s="52">
        <v>1369.2291</v>
      </c>
      <c r="H545" s="52">
        <v>684.61450000000002</v>
      </c>
      <c r="I545" s="52">
        <v>1369.2291</v>
      </c>
      <c r="J545" s="52">
        <v>376.08229999999998</v>
      </c>
      <c r="K545" s="52">
        <v>1128.2470000000001</v>
      </c>
      <c r="L545" s="52">
        <v>376.08229999999998</v>
      </c>
      <c r="M545" s="52">
        <v>376.08229999999998</v>
      </c>
      <c r="N545" s="5" t="s">
        <v>69</v>
      </c>
    </row>
    <row r="546" spans="1:14" x14ac:dyDescent="0.25">
      <c r="A546" s="50">
        <v>1.335</v>
      </c>
      <c r="B546" s="52">
        <v>7737.5158000000001</v>
      </c>
      <c r="C546" s="52">
        <v>0</v>
      </c>
      <c r="D546" s="52">
        <v>1027.6916000000001</v>
      </c>
      <c r="E546" s="52">
        <v>1027.6916000000001</v>
      </c>
      <c r="F546" s="52">
        <v>0</v>
      </c>
      <c r="G546" s="52">
        <v>1370.2555</v>
      </c>
      <c r="H546" s="52">
        <v>685.1277</v>
      </c>
      <c r="I546" s="52">
        <v>1370.2555</v>
      </c>
      <c r="J546" s="52">
        <v>376.08229999999998</v>
      </c>
      <c r="K546" s="52">
        <v>1128.2470000000001</v>
      </c>
      <c r="L546" s="52">
        <v>376.08229999999998</v>
      </c>
      <c r="M546" s="52">
        <v>376.08229999999998</v>
      </c>
      <c r="N546" s="5" t="s">
        <v>69</v>
      </c>
    </row>
    <row r="547" spans="1:14" x14ac:dyDescent="0.25">
      <c r="A547" s="50">
        <v>1.3360000000000001</v>
      </c>
      <c r="B547" s="52">
        <v>7741.6215000000002</v>
      </c>
      <c r="C547" s="52">
        <v>0</v>
      </c>
      <c r="D547" s="52">
        <v>1028.4613999999999</v>
      </c>
      <c r="E547" s="52">
        <v>1028.4613999999999</v>
      </c>
      <c r="F547" s="52">
        <v>0</v>
      </c>
      <c r="G547" s="52">
        <v>1371.2819</v>
      </c>
      <c r="H547" s="52">
        <v>685.64089999999999</v>
      </c>
      <c r="I547" s="52">
        <v>1371.2819</v>
      </c>
      <c r="J547" s="52">
        <v>376.08229999999998</v>
      </c>
      <c r="K547" s="52">
        <v>1128.2470000000001</v>
      </c>
      <c r="L547" s="52">
        <v>376.08229999999998</v>
      </c>
      <c r="M547" s="52">
        <v>376.08229999999998</v>
      </c>
      <c r="N547" s="5" t="s">
        <v>69</v>
      </c>
    </row>
    <row r="548" spans="1:14" x14ac:dyDescent="0.25">
      <c r="A548" s="50">
        <v>1.337</v>
      </c>
      <c r="B548" s="52">
        <v>7745.7271000000001</v>
      </c>
      <c r="C548" s="52">
        <v>0</v>
      </c>
      <c r="D548" s="52">
        <v>1029.2311999999999</v>
      </c>
      <c r="E548" s="52">
        <v>1029.2311999999999</v>
      </c>
      <c r="F548" s="52">
        <v>0</v>
      </c>
      <c r="G548" s="52">
        <v>1372.3082999999999</v>
      </c>
      <c r="H548" s="52">
        <v>686.15409999999997</v>
      </c>
      <c r="I548" s="52">
        <v>1372.3082999999999</v>
      </c>
      <c r="J548" s="52">
        <v>376.08229999999998</v>
      </c>
      <c r="K548" s="52">
        <v>1128.2470000000001</v>
      </c>
      <c r="L548" s="52">
        <v>376.08229999999998</v>
      </c>
      <c r="M548" s="52">
        <v>376.08229999999998</v>
      </c>
      <c r="N548" s="5" t="s">
        <v>69</v>
      </c>
    </row>
    <row r="549" spans="1:14" x14ac:dyDescent="0.25">
      <c r="A549" s="50">
        <v>1.3380000000000001</v>
      </c>
      <c r="B549" s="52">
        <v>7749.8326999999999</v>
      </c>
      <c r="C549" s="52">
        <v>0</v>
      </c>
      <c r="D549" s="52">
        <v>1030.001</v>
      </c>
      <c r="E549" s="52">
        <v>1030.001</v>
      </c>
      <c r="F549" s="52">
        <v>0</v>
      </c>
      <c r="G549" s="52">
        <v>1373.3347000000001</v>
      </c>
      <c r="H549" s="52">
        <v>686.66729999999995</v>
      </c>
      <c r="I549" s="52">
        <v>1373.3347000000001</v>
      </c>
      <c r="J549" s="52">
        <v>376.08229999999998</v>
      </c>
      <c r="K549" s="52">
        <v>1128.2470000000001</v>
      </c>
      <c r="L549" s="52">
        <v>376.08229999999998</v>
      </c>
      <c r="M549" s="52">
        <v>376.08229999999998</v>
      </c>
      <c r="N549" s="5" t="s">
        <v>69</v>
      </c>
    </row>
    <row r="550" spans="1:14" x14ac:dyDescent="0.25">
      <c r="A550" s="50">
        <v>1.339</v>
      </c>
      <c r="B550" s="52">
        <v>7753.9384</v>
      </c>
      <c r="C550" s="52">
        <v>0</v>
      </c>
      <c r="D550" s="52">
        <v>1030.7708</v>
      </c>
      <c r="E550" s="52">
        <v>1030.7708</v>
      </c>
      <c r="F550" s="52">
        <v>0</v>
      </c>
      <c r="G550" s="52">
        <v>1374.3611000000001</v>
      </c>
      <c r="H550" s="52">
        <v>687.18050000000005</v>
      </c>
      <c r="I550" s="52">
        <v>1374.3611000000001</v>
      </c>
      <c r="J550" s="52">
        <v>376.08229999999998</v>
      </c>
      <c r="K550" s="52">
        <v>1128.2470000000001</v>
      </c>
      <c r="L550" s="52">
        <v>376.08229999999998</v>
      </c>
      <c r="M550" s="52">
        <v>376.08229999999998</v>
      </c>
      <c r="N550" s="5" t="s">
        <v>69</v>
      </c>
    </row>
    <row r="551" spans="1:14" x14ac:dyDescent="0.25">
      <c r="A551" s="50">
        <v>1.34</v>
      </c>
      <c r="B551" s="52">
        <v>7758.0439999999999</v>
      </c>
      <c r="C551" s="52">
        <v>0</v>
      </c>
      <c r="D551" s="52">
        <v>1031.5406</v>
      </c>
      <c r="E551" s="52">
        <v>1031.5406</v>
      </c>
      <c r="F551" s="52">
        <v>0</v>
      </c>
      <c r="G551" s="52">
        <v>1375.3875</v>
      </c>
      <c r="H551" s="52">
        <v>687.69380000000001</v>
      </c>
      <c r="I551" s="52">
        <v>1375.3875</v>
      </c>
      <c r="J551" s="52">
        <v>376.08229999999998</v>
      </c>
      <c r="K551" s="52">
        <v>1128.2470000000001</v>
      </c>
      <c r="L551" s="52">
        <v>376.08229999999998</v>
      </c>
      <c r="M551" s="52">
        <v>376.08229999999998</v>
      </c>
      <c r="N551" s="5" t="s">
        <v>69</v>
      </c>
    </row>
    <row r="552" spans="1:14" x14ac:dyDescent="0.25">
      <c r="A552" s="50">
        <v>1.341</v>
      </c>
      <c r="B552" s="52">
        <v>7762.1495999999997</v>
      </c>
      <c r="C552" s="52">
        <v>0</v>
      </c>
      <c r="D552" s="52">
        <v>1032.3104000000001</v>
      </c>
      <c r="E552" s="52">
        <v>1032.3104000000001</v>
      </c>
      <c r="F552" s="52">
        <v>0</v>
      </c>
      <c r="G552" s="52">
        <v>1376.4139</v>
      </c>
      <c r="H552" s="52">
        <v>688.20699999999999</v>
      </c>
      <c r="I552" s="52">
        <v>1376.4139</v>
      </c>
      <c r="J552" s="52">
        <v>376.08229999999998</v>
      </c>
      <c r="K552" s="52">
        <v>1128.2470000000001</v>
      </c>
      <c r="L552" s="52">
        <v>376.08229999999998</v>
      </c>
      <c r="M552" s="52">
        <v>376.08229999999998</v>
      </c>
      <c r="N552" s="5" t="s">
        <v>69</v>
      </c>
    </row>
    <row r="553" spans="1:14" x14ac:dyDescent="0.25">
      <c r="A553" s="50">
        <v>1.3420000000000001</v>
      </c>
      <c r="B553" s="52">
        <v>7766.2552999999998</v>
      </c>
      <c r="C553" s="52">
        <v>0</v>
      </c>
      <c r="D553" s="52">
        <v>1033.0802000000001</v>
      </c>
      <c r="E553" s="52">
        <v>1033.0802000000001</v>
      </c>
      <c r="F553" s="52">
        <v>0</v>
      </c>
      <c r="G553" s="52">
        <v>1377.4403</v>
      </c>
      <c r="H553" s="52">
        <v>688.72019999999998</v>
      </c>
      <c r="I553" s="52">
        <v>1377.4403</v>
      </c>
      <c r="J553" s="52">
        <v>376.08229999999998</v>
      </c>
      <c r="K553" s="52">
        <v>1128.2470000000001</v>
      </c>
      <c r="L553" s="52">
        <v>376.08229999999998</v>
      </c>
      <c r="M553" s="52">
        <v>376.08229999999998</v>
      </c>
      <c r="N553" s="5" t="s">
        <v>69</v>
      </c>
    </row>
    <row r="554" spans="1:14" x14ac:dyDescent="0.25">
      <c r="A554" s="50">
        <v>1.343</v>
      </c>
      <c r="B554" s="52">
        <v>7770.3608999999997</v>
      </c>
      <c r="C554" s="52">
        <v>0</v>
      </c>
      <c r="D554" s="52">
        <v>1033.8499999999999</v>
      </c>
      <c r="E554" s="52">
        <v>1033.8499999999999</v>
      </c>
      <c r="F554" s="52">
        <v>0</v>
      </c>
      <c r="G554" s="52">
        <v>1378.4666999999999</v>
      </c>
      <c r="H554" s="52">
        <v>689.23339999999996</v>
      </c>
      <c r="I554" s="52">
        <v>1378.4666999999999</v>
      </c>
      <c r="J554" s="52">
        <v>376.08229999999998</v>
      </c>
      <c r="K554" s="52">
        <v>1128.2470000000001</v>
      </c>
      <c r="L554" s="52">
        <v>376.08229999999998</v>
      </c>
      <c r="M554" s="52">
        <v>376.08229999999998</v>
      </c>
      <c r="N554" s="5" t="s">
        <v>69</v>
      </c>
    </row>
    <row r="555" spans="1:14" x14ac:dyDescent="0.25">
      <c r="A555" s="50">
        <v>1.3440000000000001</v>
      </c>
      <c r="B555" s="52">
        <v>7774.4665999999997</v>
      </c>
      <c r="C555" s="52">
        <v>0</v>
      </c>
      <c r="D555" s="52">
        <v>1034.6198999999999</v>
      </c>
      <c r="E555" s="52">
        <v>1034.6198999999999</v>
      </c>
      <c r="F555" s="52">
        <v>0</v>
      </c>
      <c r="G555" s="52">
        <v>1379.4930999999999</v>
      </c>
      <c r="H555" s="52">
        <v>689.74659999999994</v>
      </c>
      <c r="I555" s="52">
        <v>1379.4930999999999</v>
      </c>
      <c r="J555" s="52">
        <v>376.08229999999998</v>
      </c>
      <c r="K555" s="52">
        <v>1128.2470000000001</v>
      </c>
      <c r="L555" s="52">
        <v>376.08229999999998</v>
      </c>
      <c r="M555" s="52">
        <v>376.08229999999998</v>
      </c>
      <c r="N555" s="5" t="s">
        <v>69</v>
      </c>
    </row>
    <row r="556" spans="1:14" x14ac:dyDescent="0.25">
      <c r="A556" s="50">
        <v>1.345</v>
      </c>
      <c r="B556" s="52">
        <v>7778.5721999999996</v>
      </c>
      <c r="C556" s="52">
        <v>0</v>
      </c>
      <c r="D556" s="52">
        <v>1035.3896999999999</v>
      </c>
      <c r="E556" s="52">
        <v>1035.3896999999999</v>
      </c>
      <c r="F556" s="52">
        <v>0</v>
      </c>
      <c r="G556" s="52">
        <v>1380.5195000000001</v>
      </c>
      <c r="H556" s="52">
        <v>690.25980000000004</v>
      </c>
      <c r="I556" s="52">
        <v>1380.5195000000001</v>
      </c>
      <c r="J556" s="52">
        <v>376.08229999999998</v>
      </c>
      <c r="K556" s="52">
        <v>1128.2470000000001</v>
      </c>
      <c r="L556" s="52">
        <v>376.08229999999998</v>
      </c>
      <c r="M556" s="52">
        <v>376.08229999999998</v>
      </c>
      <c r="N556" s="5" t="s">
        <v>69</v>
      </c>
    </row>
    <row r="557" spans="1:14" x14ac:dyDescent="0.25">
      <c r="A557" s="50">
        <v>1.3460000000000001</v>
      </c>
      <c r="B557" s="52">
        <v>7782.6778000000004</v>
      </c>
      <c r="C557" s="52">
        <v>0</v>
      </c>
      <c r="D557" s="52">
        <v>1036.1595</v>
      </c>
      <c r="E557" s="52">
        <v>1036.1595</v>
      </c>
      <c r="F557" s="52">
        <v>0</v>
      </c>
      <c r="G557" s="52">
        <v>1381.546</v>
      </c>
      <c r="H557" s="52">
        <v>690.77300000000002</v>
      </c>
      <c r="I557" s="52">
        <v>1381.546</v>
      </c>
      <c r="J557" s="52">
        <v>376.08229999999998</v>
      </c>
      <c r="K557" s="52">
        <v>1128.2470000000001</v>
      </c>
      <c r="L557" s="52">
        <v>376.08229999999998</v>
      </c>
      <c r="M557" s="52">
        <v>376.08229999999998</v>
      </c>
      <c r="N557" s="5" t="s">
        <v>69</v>
      </c>
    </row>
    <row r="558" spans="1:14" x14ac:dyDescent="0.25">
      <c r="A558" s="50">
        <v>1.347</v>
      </c>
      <c r="B558" s="52">
        <v>7786.7834999999995</v>
      </c>
      <c r="C558" s="52">
        <v>0</v>
      </c>
      <c r="D558" s="52">
        <v>1036.9293</v>
      </c>
      <c r="E558" s="52">
        <v>1036.9293</v>
      </c>
      <c r="F558" s="52">
        <v>0</v>
      </c>
      <c r="G558" s="52">
        <v>1382.5724</v>
      </c>
      <c r="H558" s="52">
        <v>691.28620000000001</v>
      </c>
      <c r="I558" s="52">
        <v>1382.5724</v>
      </c>
      <c r="J558" s="52">
        <v>376.08229999999998</v>
      </c>
      <c r="K558" s="52">
        <v>1128.2470000000001</v>
      </c>
      <c r="L558" s="52">
        <v>376.08229999999998</v>
      </c>
      <c r="M558" s="52">
        <v>376.08229999999998</v>
      </c>
      <c r="N558" s="5" t="s">
        <v>69</v>
      </c>
    </row>
    <row r="559" spans="1:14" x14ac:dyDescent="0.25">
      <c r="A559" s="50">
        <v>1.3480000000000001</v>
      </c>
      <c r="B559" s="52">
        <v>7790.8891000000003</v>
      </c>
      <c r="C559" s="52">
        <v>0</v>
      </c>
      <c r="D559" s="52">
        <v>1037.6991</v>
      </c>
      <c r="E559" s="52">
        <v>1037.6991</v>
      </c>
      <c r="F559" s="52">
        <v>0</v>
      </c>
      <c r="G559" s="52">
        <v>1383.5988</v>
      </c>
      <c r="H559" s="52">
        <v>691.79939999999999</v>
      </c>
      <c r="I559" s="52">
        <v>1383.5988</v>
      </c>
      <c r="J559" s="52">
        <v>376.08229999999998</v>
      </c>
      <c r="K559" s="52">
        <v>1128.2470000000001</v>
      </c>
      <c r="L559" s="52">
        <v>376.08229999999998</v>
      </c>
      <c r="M559" s="52">
        <v>376.08229999999998</v>
      </c>
      <c r="N559" s="5" t="s">
        <v>69</v>
      </c>
    </row>
    <row r="560" spans="1:14" x14ac:dyDescent="0.25">
      <c r="A560" s="50">
        <v>1.349</v>
      </c>
      <c r="B560" s="52">
        <v>7794.9947000000002</v>
      </c>
      <c r="C560" s="52">
        <v>0</v>
      </c>
      <c r="D560" s="52">
        <v>1038.4689000000001</v>
      </c>
      <c r="E560" s="52">
        <v>1038.4689000000001</v>
      </c>
      <c r="F560" s="52">
        <v>0</v>
      </c>
      <c r="G560" s="52">
        <v>1384.6251999999999</v>
      </c>
      <c r="H560" s="52">
        <v>692.31259999999997</v>
      </c>
      <c r="I560" s="52">
        <v>1384.6251999999999</v>
      </c>
      <c r="J560" s="52">
        <v>376.08229999999998</v>
      </c>
      <c r="K560" s="52">
        <v>1128.2470000000001</v>
      </c>
      <c r="L560" s="52">
        <v>376.08229999999998</v>
      </c>
      <c r="M560" s="52">
        <v>376.08229999999998</v>
      </c>
      <c r="N560" s="5" t="s">
        <v>69</v>
      </c>
    </row>
    <row r="561" spans="1:14" x14ac:dyDescent="0.25">
      <c r="A561" s="50">
        <v>1.35</v>
      </c>
      <c r="B561" s="52">
        <v>7799.1004000000003</v>
      </c>
      <c r="C561" s="52">
        <v>0</v>
      </c>
      <c r="D561" s="52">
        <v>1039.2387000000001</v>
      </c>
      <c r="E561" s="52">
        <v>1039.2387000000001</v>
      </c>
      <c r="F561" s="52">
        <v>0</v>
      </c>
      <c r="G561" s="52">
        <v>1385.6515999999999</v>
      </c>
      <c r="H561" s="52">
        <v>692.82579999999996</v>
      </c>
      <c r="I561" s="52">
        <v>1385.6515999999999</v>
      </c>
      <c r="J561" s="52">
        <v>376.08229999999998</v>
      </c>
      <c r="K561" s="52">
        <v>1128.2470000000001</v>
      </c>
      <c r="L561" s="52">
        <v>376.08229999999998</v>
      </c>
      <c r="M561" s="52">
        <v>376.08229999999998</v>
      </c>
      <c r="N561" s="5" t="s">
        <v>69</v>
      </c>
    </row>
    <row r="562" spans="1:14" x14ac:dyDescent="0.25">
      <c r="A562" s="50">
        <v>1.351</v>
      </c>
      <c r="B562" s="52">
        <v>7803.2060000000001</v>
      </c>
      <c r="C562" s="52">
        <v>0</v>
      </c>
      <c r="D562" s="52">
        <v>1040.0084999999999</v>
      </c>
      <c r="E562" s="52">
        <v>1040.0084999999999</v>
      </c>
      <c r="F562" s="52">
        <v>0</v>
      </c>
      <c r="G562" s="52">
        <v>1386.6780000000001</v>
      </c>
      <c r="H562" s="52">
        <v>693.33900000000006</v>
      </c>
      <c r="I562" s="52">
        <v>1386.6780000000001</v>
      </c>
      <c r="J562" s="52">
        <v>376.08229999999998</v>
      </c>
      <c r="K562" s="52">
        <v>1128.2470000000001</v>
      </c>
      <c r="L562" s="52">
        <v>376.08229999999998</v>
      </c>
      <c r="M562" s="52">
        <v>376.08229999999998</v>
      </c>
      <c r="N562" s="5" t="s">
        <v>69</v>
      </c>
    </row>
    <row r="563" spans="1:14" x14ac:dyDescent="0.25">
      <c r="A563" s="50">
        <v>1.3520000000000001</v>
      </c>
      <c r="B563" s="52">
        <v>7807.3116</v>
      </c>
      <c r="C563" s="52">
        <v>0</v>
      </c>
      <c r="D563" s="52">
        <v>1040.7782999999999</v>
      </c>
      <c r="E563" s="52">
        <v>1040.7782999999999</v>
      </c>
      <c r="F563" s="52">
        <v>0</v>
      </c>
      <c r="G563" s="52">
        <v>1387.7044000000001</v>
      </c>
      <c r="H563" s="52">
        <v>693.85220000000004</v>
      </c>
      <c r="I563" s="52">
        <v>1387.7044000000001</v>
      </c>
      <c r="J563" s="52">
        <v>376.08229999999998</v>
      </c>
      <c r="K563" s="52">
        <v>1128.2470000000001</v>
      </c>
      <c r="L563" s="52">
        <v>376.08229999999998</v>
      </c>
      <c r="M563" s="52">
        <v>376.08229999999998</v>
      </c>
      <c r="N563" s="5" t="s">
        <v>69</v>
      </c>
    </row>
    <row r="564" spans="1:14" x14ac:dyDescent="0.25">
      <c r="A564" s="50">
        <v>1.353</v>
      </c>
      <c r="B564" s="52">
        <v>7811.4173000000001</v>
      </c>
      <c r="C564" s="52">
        <v>0</v>
      </c>
      <c r="D564" s="52">
        <v>1041.5481</v>
      </c>
      <c r="E564" s="52">
        <v>1041.5481</v>
      </c>
      <c r="F564" s="52">
        <v>0</v>
      </c>
      <c r="G564" s="52">
        <v>1388.7308</v>
      </c>
      <c r="H564" s="52">
        <v>694.36540000000002</v>
      </c>
      <c r="I564" s="52">
        <v>1388.7308</v>
      </c>
      <c r="J564" s="52">
        <v>376.08229999999998</v>
      </c>
      <c r="K564" s="52">
        <v>1128.2470000000001</v>
      </c>
      <c r="L564" s="52">
        <v>376.08229999999998</v>
      </c>
      <c r="M564" s="52">
        <v>376.08229999999998</v>
      </c>
      <c r="N564" s="5" t="s">
        <v>69</v>
      </c>
    </row>
    <row r="565" spans="1:14" x14ac:dyDescent="0.25">
      <c r="A565" s="50">
        <v>1.3540000000000001</v>
      </c>
      <c r="B565" s="52">
        <v>7815.5228999999999</v>
      </c>
      <c r="C565" s="52">
        <v>0</v>
      </c>
      <c r="D565" s="52">
        <v>1042.3179</v>
      </c>
      <c r="E565" s="52">
        <v>1042.3179</v>
      </c>
      <c r="F565" s="52">
        <v>0</v>
      </c>
      <c r="G565" s="52">
        <v>1389.7572</v>
      </c>
      <c r="H565" s="52">
        <v>694.87860000000001</v>
      </c>
      <c r="I565" s="52">
        <v>1389.7572</v>
      </c>
      <c r="J565" s="52">
        <v>376.08229999999998</v>
      </c>
      <c r="K565" s="52">
        <v>1128.2470000000001</v>
      </c>
      <c r="L565" s="52">
        <v>376.08229999999998</v>
      </c>
      <c r="M565" s="52">
        <v>376.08229999999998</v>
      </c>
      <c r="N565" s="5" t="s">
        <v>69</v>
      </c>
    </row>
    <row r="566" spans="1:14" x14ac:dyDescent="0.25">
      <c r="A566" s="50">
        <v>1.355</v>
      </c>
      <c r="B566" s="52">
        <v>7819.6284999999998</v>
      </c>
      <c r="C566" s="52">
        <v>0</v>
      </c>
      <c r="D566" s="52">
        <v>1043.0877</v>
      </c>
      <c r="E566" s="52">
        <v>1043.0877</v>
      </c>
      <c r="F566" s="52">
        <v>0</v>
      </c>
      <c r="G566" s="52">
        <v>1390.7836</v>
      </c>
      <c r="H566" s="52">
        <v>695.39179999999999</v>
      </c>
      <c r="I566" s="52">
        <v>1390.7836</v>
      </c>
      <c r="J566" s="52">
        <v>376.08229999999998</v>
      </c>
      <c r="K566" s="52">
        <v>1128.2470000000001</v>
      </c>
      <c r="L566" s="52">
        <v>376.08229999999998</v>
      </c>
      <c r="M566" s="52">
        <v>376.08229999999998</v>
      </c>
      <c r="N566" s="5" t="s">
        <v>69</v>
      </c>
    </row>
    <row r="567" spans="1:14" x14ac:dyDescent="0.25">
      <c r="A567" s="50">
        <v>1.3560000000000001</v>
      </c>
      <c r="B567" s="52">
        <v>7823.7341999999999</v>
      </c>
      <c r="C567" s="52">
        <v>0</v>
      </c>
      <c r="D567" s="52">
        <v>1043.8575000000001</v>
      </c>
      <c r="E567" s="52">
        <v>1043.8575000000001</v>
      </c>
      <c r="F567" s="52">
        <v>0</v>
      </c>
      <c r="G567" s="52">
        <v>1391.81</v>
      </c>
      <c r="H567" s="52">
        <v>695.90499999999997</v>
      </c>
      <c r="I567" s="52">
        <v>1391.81</v>
      </c>
      <c r="J567" s="52">
        <v>376.08229999999998</v>
      </c>
      <c r="K567" s="52">
        <v>1128.2470000000001</v>
      </c>
      <c r="L567" s="52">
        <v>376.08229999999998</v>
      </c>
      <c r="M567" s="52">
        <v>376.08229999999998</v>
      </c>
      <c r="N567" s="5" t="s">
        <v>69</v>
      </c>
    </row>
    <row r="568" spans="1:14" x14ac:dyDescent="0.25">
      <c r="A568" s="50">
        <v>1.357</v>
      </c>
      <c r="B568" s="52">
        <v>7827.8397999999997</v>
      </c>
      <c r="C568" s="52">
        <v>0</v>
      </c>
      <c r="D568" s="52">
        <v>1044.6273000000001</v>
      </c>
      <c r="E568" s="52">
        <v>1044.6273000000001</v>
      </c>
      <c r="F568" s="52">
        <v>0</v>
      </c>
      <c r="G568" s="52">
        <v>1392.8364999999999</v>
      </c>
      <c r="H568" s="52">
        <v>696.41819999999996</v>
      </c>
      <c r="I568" s="52">
        <v>1392.8364999999999</v>
      </c>
      <c r="J568" s="52">
        <v>376.08229999999998</v>
      </c>
      <c r="K568" s="52">
        <v>1128.2470000000001</v>
      </c>
      <c r="L568" s="52">
        <v>376.08229999999998</v>
      </c>
      <c r="M568" s="52">
        <v>376.08229999999998</v>
      </c>
      <c r="N568" s="5" t="s">
        <v>69</v>
      </c>
    </row>
    <row r="569" spans="1:14" x14ac:dyDescent="0.25">
      <c r="A569" s="50">
        <v>1.3580000000000001</v>
      </c>
      <c r="B569" s="52">
        <v>7831.9453999999996</v>
      </c>
      <c r="C569" s="52">
        <v>0</v>
      </c>
      <c r="D569" s="52">
        <v>1045.3970999999999</v>
      </c>
      <c r="E569" s="52">
        <v>1045.3970999999999</v>
      </c>
      <c r="F569" s="52">
        <v>0</v>
      </c>
      <c r="G569" s="52">
        <v>1393.8629000000001</v>
      </c>
      <c r="H569" s="52">
        <v>696.93140000000005</v>
      </c>
      <c r="I569" s="52">
        <v>1393.8629000000001</v>
      </c>
      <c r="J569" s="52">
        <v>376.08229999999998</v>
      </c>
      <c r="K569" s="52">
        <v>1128.2470000000001</v>
      </c>
      <c r="L569" s="52">
        <v>376.08229999999998</v>
      </c>
      <c r="M569" s="52">
        <v>376.08229999999998</v>
      </c>
      <c r="N569" s="5" t="s">
        <v>69</v>
      </c>
    </row>
    <row r="570" spans="1:14" x14ac:dyDescent="0.25">
      <c r="A570" s="50">
        <v>1.359</v>
      </c>
      <c r="B570" s="52">
        <v>7836.0510999999997</v>
      </c>
      <c r="C570" s="52">
        <v>0</v>
      </c>
      <c r="D570" s="52">
        <v>1046.1669999999999</v>
      </c>
      <c r="E570" s="52">
        <v>1046.1669999999999</v>
      </c>
      <c r="F570" s="52">
        <v>0</v>
      </c>
      <c r="G570" s="52">
        <v>1394.8893</v>
      </c>
      <c r="H570" s="52">
        <v>697.44460000000004</v>
      </c>
      <c r="I570" s="52">
        <v>1394.8893</v>
      </c>
      <c r="J570" s="52">
        <v>376.08229999999998</v>
      </c>
      <c r="K570" s="52">
        <v>1128.2470000000001</v>
      </c>
      <c r="L570" s="52">
        <v>376.08229999999998</v>
      </c>
      <c r="M570" s="52">
        <v>376.08229999999998</v>
      </c>
      <c r="N570" s="5" t="s">
        <v>69</v>
      </c>
    </row>
    <row r="571" spans="1:14" x14ac:dyDescent="0.25">
      <c r="A571" s="50">
        <v>1.36</v>
      </c>
      <c r="B571" s="52">
        <v>7840.1566999999995</v>
      </c>
      <c r="C571" s="52">
        <v>0</v>
      </c>
      <c r="D571" s="52">
        <v>1046.9367999999999</v>
      </c>
      <c r="E571" s="52">
        <v>1046.9367999999999</v>
      </c>
      <c r="F571" s="52">
        <v>0</v>
      </c>
      <c r="G571" s="52">
        <v>1395.9157</v>
      </c>
      <c r="H571" s="52">
        <v>697.95780000000002</v>
      </c>
      <c r="I571" s="52">
        <v>1395.9157</v>
      </c>
      <c r="J571" s="52">
        <v>376.08229999999998</v>
      </c>
      <c r="K571" s="52">
        <v>1128.2470000000001</v>
      </c>
      <c r="L571" s="52">
        <v>376.08229999999998</v>
      </c>
      <c r="M571" s="52">
        <v>376.08229999999998</v>
      </c>
      <c r="N571" s="5" t="s">
        <v>69</v>
      </c>
    </row>
    <row r="572" spans="1:14" x14ac:dyDescent="0.25">
      <c r="A572" s="50">
        <v>1.361</v>
      </c>
      <c r="B572" s="52">
        <v>7844.2623000000003</v>
      </c>
      <c r="C572" s="52">
        <v>0</v>
      </c>
      <c r="D572" s="52">
        <v>1047.7066</v>
      </c>
      <c r="E572" s="52">
        <v>1047.7066</v>
      </c>
      <c r="F572" s="52">
        <v>0</v>
      </c>
      <c r="G572" s="52">
        <v>1396.9421</v>
      </c>
      <c r="H572" s="52">
        <v>698.471</v>
      </c>
      <c r="I572" s="52">
        <v>1396.9421</v>
      </c>
      <c r="J572" s="52">
        <v>376.08229999999998</v>
      </c>
      <c r="K572" s="52">
        <v>1128.2470000000001</v>
      </c>
      <c r="L572" s="52">
        <v>376.08229999999998</v>
      </c>
      <c r="M572" s="52">
        <v>376.08229999999998</v>
      </c>
      <c r="N572" s="5" t="s">
        <v>69</v>
      </c>
    </row>
    <row r="573" spans="1:14" x14ac:dyDescent="0.25">
      <c r="A573" s="50">
        <v>1.3620000000000001</v>
      </c>
      <c r="B573" s="52">
        <v>7848.3680000000004</v>
      </c>
      <c r="C573" s="52">
        <v>0</v>
      </c>
      <c r="D573" s="52">
        <v>1048.4764</v>
      </c>
      <c r="E573" s="52">
        <v>1048.4764</v>
      </c>
      <c r="F573" s="52">
        <v>0</v>
      </c>
      <c r="G573" s="52">
        <v>1397.9684999999999</v>
      </c>
      <c r="H573" s="52">
        <v>698.98419999999999</v>
      </c>
      <c r="I573" s="52">
        <v>1397.9684999999999</v>
      </c>
      <c r="J573" s="52">
        <v>376.08229999999998</v>
      </c>
      <c r="K573" s="52">
        <v>1128.2470000000001</v>
      </c>
      <c r="L573" s="52">
        <v>376.08229999999998</v>
      </c>
      <c r="M573" s="52">
        <v>376.08229999999998</v>
      </c>
      <c r="N573" s="5" t="s">
        <v>69</v>
      </c>
    </row>
    <row r="574" spans="1:14" x14ac:dyDescent="0.25">
      <c r="A574" s="50">
        <v>1.363</v>
      </c>
      <c r="B574" s="52">
        <v>7852.4736000000003</v>
      </c>
      <c r="C574" s="52">
        <v>0</v>
      </c>
      <c r="D574" s="52">
        <v>1049.2462</v>
      </c>
      <c r="E574" s="52">
        <v>1049.2462</v>
      </c>
      <c r="F574" s="52">
        <v>0</v>
      </c>
      <c r="G574" s="52">
        <v>1398.9948999999999</v>
      </c>
      <c r="H574" s="52">
        <v>699.49749999999995</v>
      </c>
      <c r="I574" s="52">
        <v>1398.9948999999999</v>
      </c>
      <c r="J574" s="52">
        <v>376.08229999999998</v>
      </c>
      <c r="K574" s="52">
        <v>1128.2470000000001</v>
      </c>
      <c r="L574" s="52">
        <v>376.08229999999998</v>
      </c>
      <c r="M574" s="52">
        <v>376.08229999999998</v>
      </c>
      <c r="N574" s="5" t="s">
        <v>69</v>
      </c>
    </row>
    <row r="575" spans="1:14" x14ac:dyDescent="0.25">
      <c r="A575" s="50">
        <v>1.3640000000000001</v>
      </c>
      <c r="B575" s="52">
        <v>7856.5792000000001</v>
      </c>
      <c r="C575" s="52">
        <v>0</v>
      </c>
      <c r="D575" s="52">
        <v>1050.0160000000001</v>
      </c>
      <c r="E575" s="52">
        <v>1050.0160000000001</v>
      </c>
      <c r="F575" s="52">
        <v>0</v>
      </c>
      <c r="G575" s="52">
        <v>1400.0213000000001</v>
      </c>
      <c r="H575" s="52">
        <v>700.01070000000004</v>
      </c>
      <c r="I575" s="52">
        <v>1400.0213000000001</v>
      </c>
      <c r="J575" s="52">
        <v>376.08229999999998</v>
      </c>
      <c r="K575" s="52">
        <v>1128.2470000000001</v>
      </c>
      <c r="L575" s="52">
        <v>376.08229999999998</v>
      </c>
      <c r="M575" s="52">
        <v>376.08229999999998</v>
      </c>
      <c r="N575" s="5" t="s">
        <v>69</v>
      </c>
    </row>
    <row r="576" spans="1:14" x14ac:dyDescent="0.25">
      <c r="A576" s="50">
        <v>1.365</v>
      </c>
      <c r="B576" s="52">
        <v>7860.6849000000002</v>
      </c>
      <c r="C576" s="52">
        <v>0</v>
      </c>
      <c r="D576" s="52">
        <v>1050.7858000000001</v>
      </c>
      <c r="E576" s="52">
        <v>1050.7858000000001</v>
      </c>
      <c r="F576" s="52">
        <v>0</v>
      </c>
      <c r="G576" s="52">
        <v>1401.0477000000001</v>
      </c>
      <c r="H576" s="52">
        <v>700.52390000000003</v>
      </c>
      <c r="I576" s="52">
        <v>1401.0477000000001</v>
      </c>
      <c r="J576" s="52">
        <v>376.08229999999998</v>
      </c>
      <c r="K576" s="52">
        <v>1128.2470000000001</v>
      </c>
      <c r="L576" s="52">
        <v>376.08229999999998</v>
      </c>
      <c r="M576" s="52">
        <v>376.08229999999998</v>
      </c>
      <c r="N576" s="5" t="s">
        <v>69</v>
      </c>
    </row>
    <row r="577" spans="1:14" x14ac:dyDescent="0.25">
      <c r="A577" s="50">
        <v>1.3660000000000001</v>
      </c>
      <c r="B577" s="52">
        <v>7864.7905000000001</v>
      </c>
      <c r="C577" s="52">
        <v>0</v>
      </c>
      <c r="D577" s="52">
        <v>1051.5555999999999</v>
      </c>
      <c r="E577" s="52">
        <v>1051.5555999999999</v>
      </c>
      <c r="F577" s="52">
        <v>0</v>
      </c>
      <c r="G577" s="52">
        <v>1402.0741</v>
      </c>
      <c r="H577" s="52">
        <v>701.03710000000001</v>
      </c>
      <c r="I577" s="52">
        <v>1402.0741</v>
      </c>
      <c r="J577" s="52">
        <v>376.08229999999998</v>
      </c>
      <c r="K577" s="52">
        <v>1128.2470000000001</v>
      </c>
      <c r="L577" s="52">
        <v>376.08229999999998</v>
      </c>
      <c r="M577" s="52">
        <v>376.08229999999998</v>
      </c>
      <c r="N577" s="5" t="s">
        <v>69</v>
      </c>
    </row>
    <row r="578" spans="1:14" x14ac:dyDescent="0.25">
      <c r="A578" s="50">
        <v>1.367</v>
      </c>
      <c r="B578" s="52">
        <v>7868.8960999999999</v>
      </c>
      <c r="C578" s="52">
        <v>0</v>
      </c>
      <c r="D578" s="52">
        <v>1052.3253999999999</v>
      </c>
      <c r="E578" s="52">
        <v>1052.3253999999999</v>
      </c>
      <c r="F578" s="52">
        <v>0</v>
      </c>
      <c r="G578" s="52">
        <v>1403.1005</v>
      </c>
      <c r="H578" s="52">
        <v>701.55029999999999</v>
      </c>
      <c r="I578" s="52">
        <v>1403.1005</v>
      </c>
      <c r="J578" s="52">
        <v>376.08229999999998</v>
      </c>
      <c r="K578" s="52">
        <v>1128.2470000000001</v>
      </c>
      <c r="L578" s="52">
        <v>376.08229999999998</v>
      </c>
      <c r="M578" s="52">
        <v>376.08229999999998</v>
      </c>
      <c r="N578" s="5" t="s">
        <v>69</v>
      </c>
    </row>
    <row r="579" spans="1:14" x14ac:dyDescent="0.25">
      <c r="A579" s="50">
        <v>1.3680000000000001</v>
      </c>
      <c r="B579" s="52">
        <v>7873.0018</v>
      </c>
      <c r="C579" s="52">
        <v>0</v>
      </c>
      <c r="D579" s="52">
        <v>1053.0952</v>
      </c>
      <c r="E579" s="52">
        <v>1053.0952</v>
      </c>
      <c r="F579" s="52">
        <v>0</v>
      </c>
      <c r="G579" s="52">
        <v>1404.1269</v>
      </c>
      <c r="H579" s="52">
        <v>702.06349999999998</v>
      </c>
      <c r="I579" s="52">
        <v>1404.1269</v>
      </c>
      <c r="J579" s="52">
        <v>376.08229999999998</v>
      </c>
      <c r="K579" s="52">
        <v>1128.2470000000001</v>
      </c>
      <c r="L579" s="52">
        <v>376.08229999999998</v>
      </c>
      <c r="M579" s="52">
        <v>376.08229999999998</v>
      </c>
      <c r="N579" s="5" t="s">
        <v>69</v>
      </c>
    </row>
    <row r="580" spans="1:14" x14ac:dyDescent="0.25">
      <c r="A580" s="50">
        <v>1.369</v>
      </c>
      <c r="B580" s="52">
        <v>7877.1073999999999</v>
      </c>
      <c r="C580" s="52">
        <v>0</v>
      </c>
      <c r="D580" s="52">
        <v>1053.865</v>
      </c>
      <c r="E580" s="52">
        <v>1053.865</v>
      </c>
      <c r="F580" s="52">
        <v>0</v>
      </c>
      <c r="G580" s="52">
        <v>1405.1533999999999</v>
      </c>
      <c r="H580" s="52">
        <v>702.57669999999996</v>
      </c>
      <c r="I580" s="52">
        <v>1405.1533999999999</v>
      </c>
      <c r="J580" s="52">
        <v>376.08229999999998</v>
      </c>
      <c r="K580" s="52">
        <v>1128.2470000000001</v>
      </c>
      <c r="L580" s="52">
        <v>376.08229999999998</v>
      </c>
      <c r="M580" s="52">
        <v>376.08229999999998</v>
      </c>
      <c r="N580" s="5" t="s">
        <v>69</v>
      </c>
    </row>
    <row r="581" spans="1:14" x14ac:dyDescent="0.25">
      <c r="A581" s="50">
        <v>1.37</v>
      </c>
      <c r="B581" s="52">
        <v>7881.2129999999997</v>
      </c>
      <c r="C581" s="52">
        <v>0</v>
      </c>
      <c r="D581" s="52">
        <v>1054.6348</v>
      </c>
      <c r="E581" s="52">
        <v>1054.6348</v>
      </c>
      <c r="F581" s="52">
        <v>0</v>
      </c>
      <c r="G581" s="52">
        <v>1406.1797999999999</v>
      </c>
      <c r="H581" s="52">
        <v>703.08989999999994</v>
      </c>
      <c r="I581" s="52">
        <v>1406.1797999999999</v>
      </c>
      <c r="J581" s="52">
        <v>376.08229999999998</v>
      </c>
      <c r="K581" s="52">
        <v>1128.2470000000001</v>
      </c>
      <c r="L581" s="52">
        <v>376.08229999999998</v>
      </c>
      <c r="M581" s="52">
        <v>376.08229999999998</v>
      </c>
      <c r="N581" s="5" t="s">
        <v>69</v>
      </c>
    </row>
    <row r="582" spans="1:14" x14ac:dyDescent="0.25">
      <c r="A582" s="50">
        <v>1.371</v>
      </c>
      <c r="B582" s="52">
        <v>7885.3186999999998</v>
      </c>
      <c r="C582" s="52">
        <v>0</v>
      </c>
      <c r="D582" s="52">
        <v>1055.4046000000001</v>
      </c>
      <c r="E582" s="52">
        <v>1055.4046000000001</v>
      </c>
      <c r="F582" s="52">
        <v>0</v>
      </c>
      <c r="G582" s="52">
        <v>1407.2062000000001</v>
      </c>
      <c r="H582" s="52">
        <v>703.60310000000004</v>
      </c>
      <c r="I582" s="52">
        <v>1407.2062000000001</v>
      </c>
      <c r="J582" s="52">
        <v>376.08229999999998</v>
      </c>
      <c r="K582" s="52">
        <v>1128.2470000000001</v>
      </c>
      <c r="L582" s="52">
        <v>376.08229999999998</v>
      </c>
      <c r="M582" s="52">
        <v>376.08229999999998</v>
      </c>
      <c r="N582" s="5" t="s">
        <v>69</v>
      </c>
    </row>
    <row r="583" spans="1:14" x14ac:dyDescent="0.25">
      <c r="A583" s="50">
        <v>1.3720000000000001</v>
      </c>
      <c r="B583" s="52">
        <v>7889.4242999999997</v>
      </c>
      <c r="C583" s="52">
        <v>0</v>
      </c>
      <c r="D583" s="52">
        <v>1056.1744000000001</v>
      </c>
      <c r="E583" s="52">
        <v>1056.1744000000001</v>
      </c>
      <c r="F583" s="52">
        <v>0</v>
      </c>
      <c r="G583" s="52">
        <v>1408.2326</v>
      </c>
      <c r="H583" s="52">
        <v>704.11630000000002</v>
      </c>
      <c r="I583" s="52">
        <v>1408.2326</v>
      </c>
      <c r="J583" s="52">
        <v>376.08229999999998</v>
      </c>
      <c r="K583" s="52">
        <v>1128.2470000000001</v>
      </c>
      <c r="L583" s="52">
        <v>376.08229999999998</v>
      </c>
      <c r="M583" s="52">
        <v>376.08229999999998</v>
      </c>
      <c r="N583" s="5" t="s">
        <v>69</v>
      </c>
    </row>
    <row r="584" spans="1:14" x14ac:dyDescent="0.25">
      <c r="A584" s="50">
        <v>1.373</v>
      </c>
      <c r="B584" s="52">
        <v>7893.5299000000005</v>
      </c>
      <c r="C584" s="52">
        <v>0</v>
      </c>
      <c r="D584" s="52">
        <v>1056.9441999999999</v>
      </c>
      <c r="E584" s="52">
        <v>1056.9441999999999</v>
      </c>
      <c r="F584" s="52">
        <v>0</v>
      </c>
      <c r="G584" s="52">
        <v>1409.259</v>
      </c>
      <c r="H584" s="52">
        <v>704.62950000000001</v>
      </c>
      <c r="I584" s="52">
        <v>1409.259</v>
      </c>
      <c r="J584" s="52">
        <v>376.08229999999998</v>
      </c>
      <c r="K584" s="52">
        <v>1128.2470000000001</v>
      </c>
      <c r="L584" s="52">
        <v>376.08229999999998</v>
      </c>
      <c r="M584" s="52">
        <v>376.08229999999998</v>
      </c>
      <c r="N584" s="5" t="s">
        <v>69</v>
      </c>
    </row>
    <row r="585" spans="1:14" x14ac:dyDescent="0.25">
      <c r="A585" s="50">
        <v>1.3740000000000001</v>
      </c>
      <c r="B585" s="52">
        <v>7897.6355999999996</v>
      </c>
      <c r="C585" s="52">
        <v>0</v>
      </c>
      <c r="D585" s="52">
        <v>1057.7139999999999</v>
      </c>
      <c r="E585" s="52">
        <v>1057.7139999999999</v>
      </c>
      <c r="F585" s="52">
        <v>0</v>
      </c>
      <c r="G585" s="52">
        <v>1410.2854</v>
      </c>
      <c r="H585" s="52">
        <v>705.14269999999999</v>
      </c>
      <c r="I585" s="52">
        <v>1410.2854</v>
      </c>
      <c r="J585" s="52">
        <v>376.08229999999998</v>
      </c>
      <c r="K585" s="52">
        <v>1128.2470000000001</v>
      </c>
      <c r="L585" s="52">
        <v>376.08229999999998</v>
      </c>
      <c r="M585" s="52">
        <v>376.08229999999998</v>
      </c>
      <c r="N585" s="5" t="s">
        <v>69</v>
      </c>
    </row>
    <row r="586" spans="1:14" x14ac:dyDescent="0.25">
      <c r="A586" s="50">
        <v>1.375</v>
      </c>
      <c r="B586" s="52">
        <v>7901.7412000000004</v>
      </c>
      <c r="C586" s="52">
        <v>0</v>
      </c>
      <c r="D586" s="52">
        <v>1058.4838999999999</v>
      </c>
      <c r="E586" s="52">
        <v>1058.4838999999999</v>
      </c>
      <c r="F586" s="52">
        <v>0</v>
      </c>
      <c r="G586" s="52">
        <v>1411.3117999999999</v>
      </c>
      <c r="H586" s="52">
        <v>705.65589999999997</v>
      </c>
      <c r="I586" s="52">
        <v>1411.3117999999999</v>
      </c>
      <c r="J586" s="52">
        <v>376.08229999999998</v>
      </c>
      <c r="K586" s="52">
        <v>1128.2470000000001</v>
      </c>
      <c r="L586" s="52">
        <v>376.08229999999998</v>
      </c>
      <c r="M586" s="52">
        <v>376.08229999999998</v>
      </c>
      <c r="N586" s="5" t="s">
        <v>69</v>
      </c>
    </row>
    <row r="587" spans="1:14" x14ac:dyDescent="0.25">
      <c r="A587" s="50">
        <v>1.3759999999999999</v>
      </c>
      <c r="B587" s="52">
        <v>7905.8468999999996</v>
      </c>
      <c r="C587" s="52">
        <v>0</v>
      </c>
      <c r="D587" s="52">
        <v>1059.2537</v>
      </c>
      <c r="E587" s="52">
        <v>1059.2537</v>
      </c>
      <c r="F587" s="52">
        <v>0</v>
      </c>
      <c r="G587" s="52">
        <v>1412.3381999999999</v>
      </c>
      <c r="H587" s="52">
        <v>706.16909999999996</v>
      </c>
      <c r="I587" s="52">
        <v>1412.3381999999999</v>
      </c>
      <c r="J587" s="52">
        <v>376.08229999999998</v>
      </c>
      <c r="K587" s="52">
        <v>1128.2470000000001</v>
      </c>
      <c r="L587" s="52">
        <v>376.08229999999998</v>
      </c>
      <c r="M587" s="52">
        <v>376.08229999999998</v>
      </c>
      <c r="N587" s="5" t="s">
        <v>69</v>
      </c>
    </row>
    <row r="588" spans="1:14" x14ac:dyDescent="0.25">
      <c r="A588" s="50">
        <v>1.377</v>
      </c>
      <c r="B588" s="52">
        <v>7909.9525000000003</v>
      </c>
      <c r="C588" s="52">
        <v>0</v>
      </c>
      <c r="D588" s="52">
        <v>1060.0235</v>
      </c>
      <c r="E588" s="52">
        <v>1060.0235</v>
      </c>
      <c r="F588" s="52">
        <v>0</v>
      </c>
      <c r="G588" s="52">
        <v>1413.3646000000001</v>
      </c>
      <c r="H588" s="52">
        <v>706.68230000000005</v>
      </c>
      <c r="I588" s="52">
        <v>1413.3646000000001</v>
      </c>
      <c r="J588" s="52">
        <v>376.08229999999998</v>
      </c>
      <c r="K588" s="52">
        <v>1128.2470000000001</v>
      </c>
      <c r="L588" s="52">
        <v>376.08229999999998</v>
      </c>
      <c r="M588" s="52">
        <v>376.08229999999998</v>
      </c>
      <c r="N588" s="5" t="s">
        <v>69</v>
      </c>
    </row>
    <row r="589" spans="1:14" x14ac:dyDescent="0.25">
      <c r="A589" s="50">
        <v>1.3779999999999999</v>
      </c>
      <c r="B589" s="52">
        <v>7914.0581000000002</v>
      </c>
      <c r="C589" s="52">
        <v>0</v>
      </c>
      <c r="D589" s="52">
        <v>1060.7933</v>
      </c>
      <c r="E589" s="52">
        <v>1060.7933</v>
      </c>
      <c r="F589" s="52">
        <v>0</v>
      </c>
      <c r="G589" s="52">
        <v>1414.3910000000001</v>
      </c>
      <c r="H589" s="52">
        <v>707.19550000000004</v>
      </c>
      <c r="I589" s="52">
        <v>1414.3910000000001</v>
      </c>
      <c r="J589" s="52">
        <v>376.08229999999998</v>
      </c>
      <c r="K589" s="52">
        <v>1128.2470000000001</v>
      </c>
      <c r="L589" s="52">
        <v>376.08229999999998</v>
      </c>
      <c r="M589" s="52">
        <v>376.08229999999998</v>
      </c>
      <c r="N589" s="5" t="s">
        <v>69</v>
      </c>
    </row>
    <row r="590" spans="1:14" x14ac:dyDescent="0.25">
      <c r="A590" s="50">
        <v>1.379</v>
      </c>
      <c r="B590" s="52">
        <v>7918.1638000000003</v>
      </c>
      <c r="C590" s="52">
        <v>0</v>
      </c>
      <c r="D590" s="52">
        <v>1061.5631000000001</v>
      </c>
      <c r="E590" s="52">
        <v>1061.5631000000001</v>
      </c>
      <c r="F590" s="52">
        <v>0</v>
      </c>
      <c r="G590" s="52">
        <v>1415.4174</v>
      </c>
      <c r="H590" s="52">
        <v>707.70870000000002</v>
      </c>
      <c r="I590" s="52">
        <v>1415.4174</v>
      </c>
      <c r="J590" s="52">
        <v>376.08229999999998</v>
      </c>
      <c r="K590" s="52">
        <v>1128.2470000000001</v>
      </c>
      <c r="L590" s="52">
        <v>376.08229999999998</v>
      </c>
      <c r="M590" s="52">
        <v>376.08229999999998</v>
      </c>
      <c r="N590" s="5" t="s">
        <v>69</v>
      </c>
    </row>
    <row r="591" spans="1:14" x14ac:dyDescent="0.25">
      <c r="A591" s="50">
        <v>1.38</v>
      </c>
      <c r="B591" s="52">
        <v>7922.2694000000001</v>
      </c>
      <c r="C591" s="52">
        <v>0</v>
      </c>
      <c r="D591" s="52">
        <v>1062.3329000000001</v>
      </c>
      <c r="E591" s="52">
        <v>1062.3329000000001</v>
      </c>
      <c r="F591" s="52">
        <v>0</v>
      </c>
      <c r="G591" s="52">
        <v>1416.4438</v>
      </c>
      <c r="H591" s="52">
        <v>708.22190000000001</v>
      </c>
      <c r="I591" s="52">
        <v>1416.4438</v>
      </c>
      <c r="J591" s="52">
        <v>376.08229999999998</v>
      </c>
      <c r="K591" s="52">
        <v>1128.2470000000001</v>
      </c>
      <c r="L591" s="52">
        <v>376.08229999999998</v>
      </c>
      <c r="M591" s="52">
        <v>376.08229999999998</v>
      </c>
      <c r="N591" s="5" t="s">
        <v>69</v>
      </c>
    </row>
    <row r="592" spans="1:14" x14ac:dyDescent="0.25">
      <c r="A592" s="50">
        <v>1.381</v>
      </c>
      <c r="B592" s="52">
        <v>7926.375</v>
      </c>
      <c r="C592" s="52">
        <v>0</v>
      </c>
      <c r="D592" s="52">
        <v>1063.1026999999999</v>
      </c>
      <c r="E592" s="52">
        <v>1063.1026999999999</v>
      </c>
      <c r="F592" s="52">
        <v>0</v>
      </c>
      <c r="G592" s="52">
        <v>1417.4703</v>
      </c>
      <c r="H592" s="52">
        <v>708.73509999999999</v>
      </c>
      <c r="I592" s="52">
        <v>1417.4703</v>
      </c>
      <c r="J592" s="52">
        <v>376.08229999999998</v>
      </c>
      <c r="K592" s="52">
        <v>1128.2470000000001</v>
      </c>
      <c r="L592" s="52">
        <v>376.08229999999998</v>
      </c>
      <c r="M592" s="52">
        <v>376.08229999999998</v>
      </c>
      <c r="N592" s="5" t="s">
        <v>69</v>
      </c>
    </row>
    <row r="593" spans="1:14" x14ac:dyDescent="0.25">
      <c r="A593" s="50">
        <v>1.3819999999999999</v>
      </c>
      <c r="B593" s="52">
        <v>7930.4807000000001</v>
      </c>
      <c r="C593" s="52">
        <v>0</v>
      </c>
      <c r="D593" s="52">
        <v>1063.8724999999999</v>
      </c>
      <c r="E593" s="52">
        <v>1063.8724999999999</v>
      </c>
      <c r="F593" s="52">
        <v>0</v>
      </c>
      <c r="G593" s="52">
        <v>1418.4966999999999</v>
      </c>
      <c r="H593" s="52">
        <v>709.24829999999997</v>
      </c>
      <c r="I593" s="52">
        <v>1418.4966999999999</v>
      </c>
      <c r="J593" s="52">
        <v>376.08229999999998</v>
      </c>
      <c r="K593" s="52">
        <v>1128.2470000000001</v>
      </c>
      <c r="L593" s="52">
        <v>376.08229999999998</v>
      </c>
      <c r="M593" s="52">
        <v>376.08229999999998</v>
      </c>
      <c r="N593" s="5" t="s">
        <v>69</v>
      </c>
    </row>
    <row r="594" spans="1:14" x14ac:dyDescent="0.25">
      <c r="A594" s="50">
        <v>1.383</v>
      </c>
      <c r="B594" s="52">
        <v>7934.5862999999999</v>
      </c>
      <c r="C594" s="52">
        <v>0</v>
      </c>
      <c r="D594" s="52">
        <v>1064.6423</v>
      </c>
      <c r="E594" s="52">
        <v>1064.6423</v>
      </c>
      <c r="F594" s="52">
        <v>0</v>
      </c>
      <c r="G594" s="52">
        <v>1419.5231000000001</v>
      </c>
      <c r="H594" s="52">
        <v>709.76149999999996</v>
      </c>
      <c r="I594" s="52">
        <v>1419.5231000000001</v>
      </c>
      <c r="J594" s="52">
        <v>376.08229999999998</v>
      </c>
      <c r="K594" s="52">
        <v>1128.2470000000001</v>
      </c>
      <c r="L594" s="52">
        <v>376.08229999999998</v>
      </c>
      <c r="M594" s="52">
        <v>376.08229999999998</v>
      </c>
      <c r="N594" s="5" t="s">
        <v>69</v>
      </c>
    </row>
    <row r="595" spans="1:14" x14ac:dyDescent="0.25">
      <c r="A595" s="50">
        <v>1.3839999999999999</v>
      </c>
      <c r="B595" s="52">
        <v>7938.6918999999998</v>
      </c>
      <c r="C595" s="52">
        <v>0</v>
      </c>
      <c r="D595" s="52">
        <v>1065.4121</v>
      </c>
      <c r="E595" s="52">
        <v>1065.4121</v>
      </c>
      <c r="F595" s="52">
        <v>0</v>
      </c>
      <c r="G595" s="52">
        <v>1420.5495000000001</v>
      </c>
      <c r="H595" s="52">
        <v>710.27470000000005</v>
      </c>
      <c r="I595" s="52">
        <v>1420.5495000000001</v>
      </c>
      <c r="J595" s="52">
        <v>376.08229999999998</v>
      </c>
      <c r="K595" s="52">
        <v>1128.2470000000001</v>
      </c>
      <c r="L595" s="52">
        <v>376.08229999999998</v>
      </c>
      <c r="M595" s="52">
        <v>376.08229999999998</v>
      </c>
      <c r="N595" s="5" t="s">
        <v>69</v>
      </c>
    </row>
    <row r="596" spans="1:14" x14ac:dyDescent="0.25">
      <c r="A596" s="50">
        <v>1.385</v>
      </c>
      <c r="B596" s="52">
        <v>7942.7975999999999</v>
      </c>
      <c r="C596" s="52">
        <v>0</v>
      </c>
      <c r="D596" s="52">
        <v>1066.1819</v>
      </c>
      <c r="E596" s="52">
        <v>1066.1819</v>
      </c>
      <c r="F596" s="52">
        <v>0</v>
      </c>
      <c r="G596" s="52">
        <v>1421.5759</v>
      </c>
      <c r="H596" s="52">
        <v>710.78790000000004</v>
      </c>
      <c r="I596" s="52">
        <v>1421.5759</v>
      </c>
      <c r="J596" s="52">
        <v>376.08229999999998</v>
      </c>
      <c r="K596" s="52">
        <v>1128.2470000000001</v>
      </c>
      <c r="L596" s="52">
        <v>376.08229999999998</v>
      </c>
      <c r="M596" s="52">
        <v>376.08229999999998</v>
      </c>
      <c r="N596" s="5" t="s">
        <v>69</v>
      </c>
    </row>
    <row r="597" spans="1:14" x14ac:dyDescent="0.25">
      <c r="A597" s="50">
        <v>1.3859999999999999</v>
      </c>
      <c r="B597" s="52">
        <v>7946.9031999999997</v>
      </c>
      <c r="C597" s="52">
        <v>0</v>
      </c>
      <c r="D597" s="52">
        <v>1066.9517000000001</v>
      </c>
      <c r="E597" s="52">
        <v>1066.9517000000001</v>
      </c>
      <c r="F597" s="52">
        <v>0</v>
      </c>
      <c r="G597" s="52">
        <v>1422.6023</v>
      </c>
      <c r="H597" s="52">
        <v>711.30110000000002</v>
      </c>
      <c r="I597" s="52">
        <v>1422.6023</v>
      </c>
      <c r="J597" s="52">
        <v>376.08229999999998</v>
      </c>
      <c r="K597" s="52">
        <v>1128.2470000000001</v>
      </c>
      <c r="L597" s="52">
        <v>376.08229999999998</v>
      </c>
      <c r="M597" s="52">
        <v>376.08229999999998</v>
      </c>
      <c r="N597" s="5" t="s">
        <v>69</v>
      </c>
    </row>
    <row r="598" spans="1:14" x14ac:dyDescent="0.25">
      <c r="A598" s="50">
        <v>1.387</v>
      </c>
      <c r="B598" s="52">
        <v>7951.0087999999996</v>
      </c>
      <c r="C598" s="52">
        <v>0</v>
      </c>
      <c r="D598" s="52">
        <v>1067.7215000000001</v>
      </c>
      <c r="E598" s="52">
        <v>1067.7215000000001</v>
      </c>
      <c r="F598" s="52">
        <v>0</v>
      </c>
      <c r="G598" s="52">
        <v>1423.6287</v>
      </c>
      <c r="H598" s="52">
        <v>711.81439999999998</v>
      </c>
      <c r="I598" s="52">
        <v>1423.6287</v>
      </c>
      <c r="J598" s="52">
        <v>376.08229999999998</v>
      </c>
      <c r="K598" s="52">
        <v>1128.2470000000001</v>
      </c>
      <c r="L598" s="52">
        <v>376.08229999999998</v>
      </c>
      <c r="M598" s="52">
        <v>376.08229999999998</v>
      </c>
      <c r="N598" s="5" t="s">
        <v>69</v>
      </c>
    </row>
    <row r="599" spans="1:14" x14ac:dyDescent="0.25">
      <c r="A599" s="50">
        <v>1.3879999999999999</v>
      </c>
      <c r="B599" s="52">
        <v>7955.1144999999997</v>
      </c>
      <c r="C599" s="52">
        <v>0</v>
      </c>
      <c r="D599" s="52">
        <v>1068.4912999999999</v>
      </c>
      <c r="E599" s="52">
        <v>1068.4912999999999</v>
      </c>
      <c r="F599" s="52">
        <v>0</v>
      </c>
      <c r="G599" s="52">
        <v>1424.6550999999999</v>
      </c>
      <c r="H599" s="52">
        <v>712.32759999999996</v>
      </c>
      <c r="I599" s="52">
        <v>1424.6550999999999</v>
      </c>
      <c r="J599" s="52">
        <v>376.08229999999998</v>
      </c>
      <c r="K599" s="52">
        <v>1128.2470000000001</v>
      </c>
      <c r="L599" s="52">
        <v>376.08229999999998</v>
      </c>
      <c r="M599" s="52">
        <v>376.08229999999998</v>
      </c>
      <c r="N599" s="5" t="s">
        <v>69</v>
      </c>
    </row>
    <row r="600" spans="1:14" x14ac:dyDescent="0.25">
      <c r="A600" s="50">
        <v>1.389</v>
      </c>
      <c r="B600" s="52">
        <v>7959.2200999999995</v>
      </c>
      <c r="C600" s="52">
        <v>0</v>
      </c>
      <c r="D600" s="52">
        <v>1069.2610999999999</v>
      </c>
      <c r="E600" s="52">
        <v>1069.2610999999999</v>
      </c>
      <c r="F600" s="52">
        <v>0</v>
      </c>
      <c r="G600" s="52">
        <v>1425.6814999999999</v>
      </c>
      <c r="H600" s="52">
        <v>712.84079999999994</v>
      </c>
      <c r="I600" s="52">
        <v>1425.6814999999999</v>
      </c>
      <c r="J600" s="52">
        <v>376.08229999999998</v>
      </c>
      <c r="K600" s="52">
        <v>1128.2470000000001</v>
      </c>
      <c r="L600" s="52">
        <v>376.08229999999998</v>
      </c>
      <c r="M600" s="52">
        <v>376.08229999999998</v>
      </c>
      <c r="N600" s="5" t="s">
        <v>69</v>
      </c>
    </row>
    <row r="601" spans="1:14" x14ac:dyDescent="0.25">
      <c r="A601" s="50">
        <v>1.39</v>
      </c>
      <c r="B601" s="52">
        <v>7963.3257000000003</v>
      </c>
      <c r="C601" s="52">
        <v>0</v>
      </c>
      <c r="D601" s="52">
        <v>1070.0309999999999</v>
      </c>
      <c r="E601" s="52">
        <v>1070.0309999999999</v>
      </c>
      <c r="F601" s="52">
        <v>0</v>
      </c>
      <c r="G601" s="52">
        <v>1426.7079000000001</v>
      </c>
      <c r="H601" s="52">
        <v>713.35400000000004</v>
      </c>
      <c r="I601" s="52">
        <v>1426.7079000000001</v>
      </c>
      <c r="J601" s="52">
        <v>376.08229999999998</v>
      </c>
      <c r="K601" s="52">
        <v>1128.2470000000001</v>
      </c>
      <c r="L601" s="52">
        <v>376.08229999999998</v>
      </c>
      <c r="M601" s="52">
        <v>376.08229999999998</v>
      </c>
      <c r="N601" s="5" t="s">
        <v>69</v>
      </c>
    </row>
    <row r="602" spans="1:14" x14ac:dyDescent="0.25">
      <c r="A602" s="50">
        <v>1.391</v>
      </c>
      <c r="B602" s="52">
        <v>7967.4314000000004</v>
      </c>
      <c r="C602" s="52">
        <v>0</v>
      </c>
      <c r="D602" s="52">
        <v>1070.8008</v>
      </c>
      <c r="E602" s="52">
        <v>1070.8008</v>
      </c>
      <c r="F602" s="52">
        <v>0</v>
      </c>
      <c r="G602" s="52">
        <v>1427.7343000000001</v>
      </c>
      <c r="H602" s="52">
        <v>713.86720000000003</v>
      </c>
      <c r="I602" s="52">
        <v>1427.7343000000001</v>
      </c>
      <c r="J602" s="52">
        <v>376.08229999999998</v>
      </c>
      <c r="K602" s="52">
        <v>1128.2470000000001</v>
      </c>
      <c r="L602" s="52">
        <v>376.08229999999998</v>
      </c>
      <c r="M602" s="52">
        <v>376.08229999999998</v>
      </c>
      <c r="N602" s="5" t="s">
        <v>69</v>
      </c>
    </row>
    <row r="603" spans="1:14" x14ac:dyDescent="0.25">
      <c r="A603" s="50">
        <v>1.3919999999999999</v>
      </c>
      <c r="B603" s="52">
        <v>7971.5370000000003</v>
      </c>
      <c r="C603" s="52">
        <v>0</v>
      </c>
      <c r="D603" s="52">
        <v>1071.5706</v>
      </c>
      <c r="E603" s="52">
        <v>1071.5706</v>
      </c>
      <c r="F603" s="52">
        <v>0</v>
      </c>
      <c r="G603" s="52">
        <v>1428.7608</v>
      </c>
      <c r="H603" s="52">
        <v>714.38040000000001</v>
      </c>
      <c r="I603" s="52">
        <v>1428.7608</v>
      </c>
      <c r="J603" s="52">
        <v>376.08229999999998</v>
      </c>
      <c r="K603" s="52">
        <v>1128.2470000000001</v>
      </c>
      <c r="L603" s="52">
        <v>376.08229999999998</v>
      </c>
      <c r="M603" s="52">
        <v>376.08229999999998</v>
      </c>
      <c r="N603" s="5" t="s">
        <v>69</v>
      </c>
    </row>
    <row r="604" spans="1:14" x14ac:dyDescent="0.25">
      <c r="A604" s="50">
        <v>1.393</v>
      </c>
      <c r="B604" s="52">
        <v>7975.6426000000001</v>
      </c>
      <c r="C604" s="52">
        <v>0</v>
      </c>
      <c r="D604" s="52">
        <v>1072.3404</v>
      </c>
      <c r="E604" s="52">
        <v>1072.3404</v>
      </c>
      <c r="F604" s="52">
        <v>0</v>
      </c>
      <c r="G604" s="52">
        <v>1429.7872</v>
      </c>
      <c r="H604" s="52">
        <v>714.89359999999999</v>
      </c>
      <c r="I604" s="52">
        <v>1429.7872</v>
      </c>
      <c r="J604" s="52">
        <v>376.08229999999998</v>
      </c>
      <c r="K604" s="52">
        <v>1128.2470000000001</v>
      </c>
      <c r="L604" s="52">
        <v>376.08229999999998</v>
      </c>
      <c r="M604" s="52">
        <v>376.08229999999998</v>
      </c>
      <c r="N604" s="5" t="s">
        <v>69</v>
      </c>
    </row>
    <row r="605" spans="1:14" x14ac:dyDescent="0.25">
      <c r="A605" s="50">
        <v>1.3939999999999999</v>
      </c>
      <c r="B605" s="52">
        <v>7979.7483000000002</v>
      </c>
      <c r="C605" s="52">
        <v>0</v>
      </c>
      <c r="D605" s="52">
        <v>1073.1102000000001</v>
      </c>
      <c r="E605" s="52">
        <v>1073.1102000000001</v>
      </c>
      <c r="F605" s="52">
        <v>0</v>
      </c>
      <c r="G605" s="52">
        <v>1430.8136</v>
      </c>
      <c r="H605" s="52">
        <v>715.40679999999998</v>
      </c>
      <c r="I605" s="52">
        <v>1430.8136</v>
      </c>
      <c r="J605" s="52">
        <v>376.08229999999998</v>
      </c>
      <c r="K605" s="52">
        <v>1128.2470000000001</v>
      </c>
      <c r="L605" s="52">
        <v>376.08229999999998</v>
      </c>
      <c r="M605" s="52">
        <v>376.08229999999998</v>
      </c>
      <c r="N605" s="5" t="s">
        <v>69</v>
      </c>
    </row>
    <row r="606" spans="1:14" x14ac:dyDescent="0.25">
      <c r="A606" s="50">
        <v>1.395</v>
      </c>
      <c r="B606" s="52">
        <v>7983.8539000000001</v>
      </c>
      <c r="C606" s="52">
        <v>0</v>
      </c>
      <c r="D606" s="52">
        <v>1073.8800000000001</v>
      </c>
      <c r="E606" s="52">
        <v>1073.8800000000001</v>
      </c>
      <c r="F606" s="52">
        <v>0</v>
      </c>
      <c r="G606" s="52">
        <v>1431.84</v>
      </c>
      <c r="H606" s="52">
        <v>715.92</v>
      </c>
      <c r="I606" s="52">
        <v>1431.84</v>
      </c>
      <c r="J606" s="52">
        <v>376.08229999999998</v>
      </c>
      <c r="K606" s="52">
        <v>1128.2470000000001</v>
      </c>
      <c r="L606" s="52">
        <v>376.08229999999998</v>
      </c>
      <c r="M606" s="52">
        <v>376.08229999999998</v>
      </c>
      <c r="N606" s="5" t="s">
        <v>69</v>
      </c>
    </row>
    <row r="607" spans="1:14" x14ac:dyDescent="0.25">
      <c r="A607" s="50">
        <v>1.3959999999999999</v>
      </c>
      <c r="B607" s="52">
        <v>7987.9594999999999</v>
      </c>
      <c r="C607" s="52">
        <v>0</v>
      </c>
      <c r="D607" s="52">
        <v>1074.6497999999999</v>
      </c>
      <c r="E607" s="52">
        <v>1074.6497999999999</v>
      </c>
      <c r="F607" s="52">
        <v>0</v>
      </c>
      <c r="G607" s="52">
        <v>1432.8664000000001</v>
      </c>
      <c r="H607" s="52">
        <v>716.43320000000006</v>
      </c>
      <c r="I607" s="52">
        <v>1432.8664000000001</v>
      </c>
      <c r="J607" s="52">
        <v>376.08229999999998</v>
      </c>
      <c r="K607" s="52">
        <v>1128.2470000000001</v>
      </c>
      <c r="L607" s="52">
        <v>376.08229999999998</v>
      </c>
      <c r="M607" s="52">
        <v>376.08229999999998</v>
      </c>
      <c r="N607" s="5" t="s">
        <v>69</v>
      </c>
    </row>
    <row r="608" spans="1:14" x14ac:dyDescent="0.25">
      <c r="A608" s="50">
        <v>1.397</v>
      </c>
      <c r="B608" s="52">
        <v>7992.0652</v>
      </c>
      <c r="C608" s="52">
        <v>0</v>
      </c>
      <c r="D608" s="52">
        <v>1075.4195999999999</v>
      </c>
      <c r="E608" s="52">
        <v>1075.4195999999999</v>
      </c>
      <c r="F608" s="52">
        <v>0</v>
      </c>
      <c r="G608" s="52">
        <v>1433.8928000000001</v>
      </c>
      <c r="H608" s="52">
        <v>716.94640000000004</v>
      </c>
      <c r="I608" s="52">
        <v>1433.8928000000001</v>
      </c>
      <c r="J608" s="52">
        <v>376.08229999999998</v>
      </c>
      <c r="K608" s="52">
        <v>1128.2470000000001</v>
      </c>
      <c r="L608" s="52">
        <v>376.08229999999998</v>
      </c>
      <c r="M608" s="52">
        <v>376.08229999999998</v>
      </c>
      <c r="N608" s="5" t="s">
        <v>69</v>
      </c>
    </row>
    <row r="609" spans="1:14" x14ac:dyDescent="0.25">
      <c r="A609" s="50">
        <v>1.3979999999999999</v>
      </c>
      <c r="B609" s="52">
        <v>7996.1707999999999</v>
      </c>
      <c r="C609" s="52">
        <v>0</v>
      </c>
      <c r="D609" s="52">
        <v>1076.1894</v>
      </c>
      <c r="E609" s="52">
        <v>1076.1894</v>
      </c>
      <c r="F609" s="52">
        <v>0</v>
      </c>
      <c r="G609" s="52">
        <v>1434.9192</v>
      </c>
      <c r="H609" s="52">
        <v>717.45960000000002</v>
      </c>
      <c r="I609" s="52">
        <v>1434.9192</v>
      </c>
      <c r="J609" s="52">
        <v>376.08229999999998</v>
      </c>
      <c r="K609" s="52">
        <v>1128.2470000000001</v>
      </c>
      <c r="L609" s="52">
        <v>376.08229999999998</v>
      </c>
      <c r="M609" s="52">
        <v>376.08229999999998</v>
      </c>
      <c r="N609" s="5" t="s">
        <v>69</v>
      </c>
    </row>
    <row r="610" spans="1:14" x14ac:dyDescent="0.25">
      <c r="A610" s="50">
        <v>1.399</v>
      </c>
      <c r="B610" s="52">
        <v>8000.2763999999997</v>
      </c>
      <c r="C610" s="52">
        <v>0</v>
      </c>
      <c r="D610" s="52">
        <v>1076.9592</v>
      </c>
      <c r="E610" s="52">
        <v>1076.9592</v>
      </c>
      <c r="F610" s="52">
        <v>0</v>
      </c>
      <c r="G610" s="52">
        <v>1435.9456</v>
      </c>
      <c r="H610" s="52">
        <v>717.97280000000001</v>
      </c>
      <c r="I610" s="52">
        <v>1435.9456</v>
      </c>
      <c r="J610" s="52">
        <v>376.08229999999998</v>
      </c>
      <c r="K610" s="52">
        <v>1128.2470000000001</v>
      </c>
      <c r="L610" s="52">
        <v>376.08229999999998</v>
      </c>
      <c r="M610" s="52">
        <v>376.08229999999998</v>
      </c>
      <c r="N610" s="5" t="s">
        <v>69</v>
      </c>
    </row>
    <row r="611" spans="1:14" x14ac:dyDescent="0.25">
      <c r="A611" s="50">
        <v>1.4</v>
      </c>
      <c r="B611" s="52">
        <v>8040.7610999999997</v>
      </c>
      <c r="C611" s="52">
        <v>0</v>
      </c>
      <c r="D611" s="52">
        <v>1084.5500999999999</v>
      </c>
      <c r="E611" s="52">
        <v>1084.5500999999999</v>
      </c>
      <c r="F611" s="52">
        <v>0</v>
      </c>
      <c r="G611" s="52">
        <v>1446.0668000000001</v>
      </c>
      <c r="H611" s="52">
        <v>723.03340000000003</v>
      </c>
      <c r="I611" s="52">
        <v>1446.0668000000001</v>
      </c>
      <c r="J611" s="52">
        <v>376.08229999999998</v>
      </c>
      <c r="K611" s="52">
        <v>1128.2470000000001</v>
      </c>
      <c r="L611" s="52">
        <v>376.08229999999998</v>
      </c>
      <c r="M611" s="52">
        <v>376.08229999999998</v>
      </c>
      <c r="N611" s="5" t="s">
        <v>69</v>
      </c>
    </row>
    <row r="612" spans="1:14" x14ac:dyDescent="0.25">
      <c r="A612" s="50">
        <v>1.401</v>
      </c>
      <c r="B612" s="52">
        <v>8044.8927000000003</v>
      </c>
      <c r="C612" s="52">
        <v>0</v>
      </c>
      <c r="D612" s="52">
        <v>1085.3248000000001</v>
      </c>
      <c r="E612" s="52">
        <v>1085.3248000000001</v>
      </c>
      <c r="F612" s="52">
        <v>0</v>
      </c>
      <c r="G612" s="52">
        <v>1447.0997</v>
      </c>
      <c r="H612" s="52">
        <v>723.5498</v>
      </c>
      <c r="I612" s="52">
        <v>1447.0997</v>
      </c>
      <c r="J612" s="52">
        <v>376.08229999999998</v>
      </c>
      <c r="K612" s="52">
        <v>1128.2470000000001</v>
      </c>
      <c r="L612" s="52">
        <v>376.08229999999998</v>
      </c>
      <c r="M612" s="52">
        <v>376.08229999999998</v>
      </c>
      <c r="N612" s="5" t="s">
        <v>69</v>
      </c>
    </row>
    <row r="613" spans="1:14" x14ac:dyDescent="0.25">
      <c r="A613" s="50">
        <v>1.4019999999999999</v>
      </c>
      <c r="B613" s="52">
        <v>8049.0244000000002</v>
      </c>
      <c r="C613" s="52">
        <v>0</v>
      </c>
      <c r="D613" s="52">
        <v>1086.0994000000001</v>
      </c>
      <c r="E613" s="52">
        <v>1086.0994000000001</v>
      </c>
      <c r="F613" s="52">
        <v>0</v>
      </c>
      <c r="G613" s="52">
        <v>1448.1325999999999</v>
      </c>
      <c r="H613" s="52">
        <v>724.06629999999996</v>
      </c>
      <c r="I613" s="52">
        <v>1448.1325999999999</v>
      </c>
      <c r="J613" s="52">
        <v>376.08229999999998</v>
      </c>
      <c r="K613" s="52">
        <v>1128.2470000000001</v>
      </c>
      <c r="L613" s="52">
        <v>376.08229999999998</v>
      </c>
      <c r="M613" s="52">
        <v>376.08229999999998</v>
      </c>
      <c r="N613" s="5" t="s">
        <v>69</v>
      </c>
    </row>
    <row r="614" spans="1:14" x14ac:dyDescent="0.25">
      <c r="A614" s="50">
        <v>1.403</v>
      </c>
      <c r="B614" s="52">
        <v>8053.1559999999999</v>
      </c>
      <c r="C614" s="52">
        <v>0</v>
      </c>
      <c r="D614" s="52">
        <v>1086.8741</v>
      </c>
      <c r="E614" s="52">
        <v>1086.8741</v>
      </c>
      <c r="F614" s="52">
        <v>0</v>
      </c>
      <c r="G614" s="52">
        <v>1449.1655000000001</v>
      </c>
      <c r="H614" s="52">
        <v>724.58270000000005</v>
      </c>
      <c r="I614" s="52">
        <v>1449.1655000000001</v>
      </c>
      <c r="J614" s="52">
        <v>376.08229999999998</v>
      </c>
      <c r="K614" s="52">
        <v>1128.2470000000001</v>
      </c>
      <c r="L614" s="52">
        <v>376.08229999999998</v>
      </c>
      <c r="M614" s="52">
        <v>376.08229999999998</v>
      </c>
      <c r="N614" s="5" t="s">
        <v>69</v>
      </c>
    </row>
    <row r="615" spans="1:14" x14ac:dyDescent="0.25">
      <c r="A615" s="50">
        <v>1.4039999999999999</v>
      </c>
      <c r="B615" s="52">
        <v>8057.2875999999997</v>
      </c>
      <c r="C615" s="52">
        <v>0</v>
      </c>
      <c r="D615" s="52">
        <v>1087.6487999999999</v>
      </c>
      <c r="E615" s="52">
        <v>1087.6487999999999</v>
      </c>
      <c r="F615" s="52">
        <v>0</v>
      </c>
      <c r="G615" s="52">
        <v>1450.1984</v>
      </c>
      <c r="H615" s="52">
        <v>725.0992</v>
      </c>
      <c r="I615" s="52">
        <v>1450.1984</v>
      </c>
      <c r="J615" s="52">
        <v>376.08229999999998</v>
      </c>
      <c r="K615" s="52">
        <v>1128.2470000000001</v>
      </c>
      <c r="L615" s="52">
        <v>376.08229999999998</v>
      </c>
      <c r="M615" s="52">
        <v>376.08229999999998</v>
      </c>
      <c r="N615" s="5" t="s">
        <v>69</v>
      </c>
    </row>
    <row r="616" spans="1:14" x14ac:dyDescent="0.25">
      <c r="A616" s="50">
        <v>1.405</v>
      </c>
      <c r="B616" s="52">
        <v>8061.4192000000003</v>
      </c>
      <c r="C616" s="52">
        <v>0</v>
      </c>
      <c r="D616" s="52">
        <v>1088.4235000000001</v>
      </c>
      <c r="E616" s="52">
        <v>1088.4235000000001</v>
      </c>
      <c r="F616" s="52">
        <v>0</v>
      </c>
      <c r="G616" s="52">
        <v>1451.2312999999999</v>
      </c>
      <c r="H616" s="52">
        <v>725.61569999999995</v>
      </c>
      <c r="I616" s="52">
        <v>1451.2312999999999</v>
      </c>
      <c r="J616" s="52">
        <v>376.08229999999998</v>
      </c>
      <c r="K616" s="52">
        <v>1128.2470000000001</v>
      </c>
      <c r="L616" s="52">
        <v>376.08229999999998</v>
      </c>
      <c r="M616" s="52">
        <v>376.08229999999998</v>
      </c>
      <c r="N616" s="5" t="s">
        <v>69</v>
      </c>
    </row>
    <row r="617" spans="1:14" x14ac:dyDescent="0.25">
      <c r="A617" s="50">
        <v>1.4059999999999999</v>
      </c>
      <c r="B617" s="52">
        <v>8065.5508</v>
      </c>
      <c r="C617" s="52">
        <v>0</v>
      </c>
      <c r="D617" s="52">
        <v>1089.1982</v>
      </c>
      <c r="E617" s="52">
        <v>1089.1982</v>
      </c>
      <c r="F617" s="52">
        <v>0</v>
      </c>
      <c r="G617" s="52">
        <v>1452.2642000000001</v>
      </c>
      <c r="H617" s="52">
        <v>726.13210000000004</v>
      </c>
      <c r="I617" s="52">
        <v>1452.2642000000001</v>
      </c>
      <c r="J617" s="52">
        <v>376.08229999999998</v>
      </c>
      <c r="K617" s="52">
        <v>1128.2470000000001</v>
      </c>
      <c r="L617" s="52">
        <v>376.08229999999998</v>
      </c>
      <c r="M617" s="52">
        <v>376.08229999999998</v>
      </c>
      <c r="N617" s="5" t="s">
        <v>69</v>
      </c>
    </row>
    <row r="618" spans="1:14" x14ac:dyDescent="0.25">
      <c r="A618" s="50">
        <v>1.407</v>
      </c>
      <c r="B618" s="52">
        <v>8069.6823999999997</v>
      </c>
      <c r="C618" s="52">
        <v>0</v>
      </c>
      <c r="D618" s="52">
        <v>1089.9728</v>
      </c>
      <c r="E618" s="52">
        <v>1089.9728</v>
      </c>
      <c r="F618" s="52">
        <v>0</v>
      </c>
      <c r="G618" s="52">
        <v>1453.2971</v>
      </c>
      <c r="H618" s="52">
        <v>726.64859999999999</v>
      </c>
      <c r="I618" s="52">
        <v>1453.2971</v>
      </c>
      <c r="J618" s="52">
        <v>376.08229999999998</v>
      </c>
      <c r="K618" s="52">
        <v>1128.2470000000001</v>
      </c>
      <c r="L618" s="52">
        <v>376.08229999999998</v>
      </c>
      <c r="M618" s="52">
        <v>376.08229999999998</v>
      </c>
      <c r="N618" s="5" t="s">
        <v>69</v>
      </c>
    </row>
    <row r="619" spans="1:14" x14ac:dyDescent="0.25">
      <c r="A619" s="50">
        <v>1.4079999999999999</v>
      </c>
      <c r="B619" s="52">
        <v>8073.8140999999996</v>
      </c>
      <c r="C619" s="52">
        <v>0</v>
      </c>
      <c r="D619" s="52">
        <v>1090.7474999999999</v>
      </c>
      <c r="E619" s="52">
        <v>1090.7474999999999</v>
      </c>
      <c r="F619" s="52">
        <v>0</v>
      </c>
      <c r="G619" s="52">
        <v>1454.33</v>
      </c>
      <c r="H619" s="52">
        <v>727.16499999999996</v>
      </c>
      <c r="I619" s="52">
        <v>1454.33</v>
      </c>
      <c r="J619" s="52">
        <v>376.08229999999998</v>
      </c>
      <c r="K619" s="52">
        <v>1128.2470000000001</v>
      </c>
      <c r="L619" s="52">
        <v>376.08229999999998</v>
      </c>
      <c r="M619" s="52">
        <v>376.08229999999998</v>
      </c>
      <c r="N619" s="5" t="s">
        <v>69</v>
      </c>
    </row>
    <row r="620" spans="1:14" x14ac:dyDescent="0.25">
      <c r="A620" s="50">
        <v>1.409</v>
      </c>
      <c r="B620" s="52">
        <v>8077.9457000000002</v>
      </c>
      <c r="C620" s="52">
        <v>0</v>
      </c>
      <c r="D620" s="52">
        <v>1091.5222000000001</v>
      </c>
      <c r="E620" s="52">
        <v>1091.5222000000001</v>
      </c>
      <c r="F620" s="52">
        <v>0</v>
      </c>
      <c r="G620" s="52">
        <v>1455.3629000000001</v>
      </c>
      <c r="H620" s="52">
        <v>727.68150000000003</v>
      </c>
      <c r="I620" s="52">
        <v>1455.3629000000001</v>
      </c>
      <c r="J620" s="52">
        <v>376.08229999999998</v>
      </c>
      <c r="K620" s="52">
        <v>1128.2470000000001</v>
      </c>
      <c r="L620" s="52">
        <v>376.08229999999998</v>
      </c>
      <c r="M620" s="52">
        <v>376.08229999999998</v>
      </c>
      <c r="N620" s="5" t="s">
        <v>69</v>
      </c>
    </row>
    <row r="621" spans="1:14" x14ac:dyDescent="0.25">
      <c r="A621" s="50">
        <v>1.41</v>
      </c>
      <c r="B621" s="52">
        <v>8082.0772999999999</v>
      </c>
      <c r="C621" s="52">
        <v>0</v>
      </c>
      <c r="D621" s="52">
        <v>1092.2969000000001</v>
      </c>
      <c r="E621" s="52">
        <v>1092.2969000000001</v>
      </c>
      <c r="F621" s="52">
        <v>0</v>
      </c>
      <c r="G621" s="52">
        <v>1456.3958</v>
      </c>
      <c r="H621" s="52">
        <v>728.1979</v>
      </c>
      <c r="I621" s="52">
        <v>1456.3958</v>
      </c>
      <c r="J621" s="52">
        <v>376.08229999999998</v>
      </c>
      <c r="K621" s="52">
        <v>1128.2470000000001</v>
      </c>
      <c r="L621" s="52">
        <v>376.08229999999998</v>
      </c>
      <c r="M621" s="52">
        <v>376.08229999999998</v>
      </c>
      <c r="N621" s="5" t="s">
        <v>69</v>
      </c>
    </row>
    <row r="622" spans="1:14" x14ac:dyDescent="0.25">
      <c r="A622" s="50">
        <v>1.411</v>
      </c>
      <c r="B622" s="52">
        <v>8086.2088999999996</v>
      </c>
      <c r="C622" s="52">
        <v>0</v>
      </c>
      <c r="D622" s="52">
        <v>1093.0715</v>
      </c>
      <c r="E622" s="52">
        <v>1093.0715</v>
      </c>
      <c r="F622" s="52">
        <v>0</v>
      </c>
      <c r="G622" s="52">
        <v>1457.4286999999999</v>
      </c>
      <c r="H622" s="52">
        <v>728.71439999999996</v>
      </c>
      <c r="I622" s="52">
        <v>1457.4286999999999</v>
      </c>
      <c r="J622" s="52">
        <v>376.08229999999998</v>
      </c>
      <c r="K622" s="52">
        <v>1128.2470000000001</v>
      </c>
      <c r="L622" s="52">
        <v>376.08229999999998</v>
      </c>
      <c r="M622" s="52">
        <v>376.08229999999998</v>
      </c>
      <c r="N622" s="5" t="s">
        <v>69</v>
      </c>
    </row>
    <row r="623" spans="1:14" x14ac:dyDescent="0.25">
      <c r="A623" s="50">
        <v>1.4119999999999999</v>
      </c>
      <c r="B623" s="52">
        <v>8090.3405000000002</v>
      </c>
      <c r="C623" s="52">
        <v>0</v>
      </c>
      <c r="D623" s="52">
        <v>1093.8462</v>
      </c>
      <c r="E623" s="52">
        <v>1093.8462</v>
      </c>
      <c r="F623" s="52">
        <v>0</v>
      </c>
      <c r="G623" s="52">
        <v>1458.4616000000001</v>
      </c>
      <c r="H623" s="52">
        <v>729.23080000000004</v>
      </c>
      <c r="I623" s="52">
        <v>1458.4616000000001</v>
      </c>
      <c r="J623" s="52">
        <v>376.08229999999998</v>
      </c>
      <c r="K623" s="52">
        <v>1128.2470000000001</v>
      </c>
      <c r="L623" s="52">
        <v>376.08229999999998</v>
      </c>
      <c r="M623" s="52">
        <v>376.08229999999998</v>
      </c>
      <c r="N623" s="5" t="s">
        <v>69</v>
      </c>
    </row>
    <row r="624" spans="1:14" x14ac:dyDescent="0.25">
      <c r="A624" s="50">
        <v>1.413</v>
      </c>
      <c r="B624" s="52">
        <v>8094.4722000000002</v>
      </c>
      <c r="C624" s="52">
        <v>0</v>
      </c>
      <c r="D624" s="52">
        <v>1094.6208999999999</v>
      </c>
      <c r="E624" s="52">
        <v>1094.6208999999999</v>
      </c>
      <c r="F624" s="52">
        <v>0</v>
      </c>
      <c r="G624" s="52">
        <v>1459.4945</v>
      </c>
      <c r="H624" s="52">
        <v>729.7473</v>
      </c>
      <c r="I624" s="52">
        <v>1459.4945</v>
      </c>
      <c r="J624" s="52">
        <v>376.08229999999998</v>
      </c>
      <c r="K624" s="52">
        <v>1128.2470000000001</v>
      </c>
      <c r="L624" s="52">
        <v>376.08229999999998</v>
      </c>
      <c r="M624" s="52">
        <v>376.08229999999998</v>
      </c>
      <c r="N624" s="5" t="s">
        <v>69</v>
      </c>
    </row>
    <row r="625" spans="1:14" x14ac:dyDescent="0.25">
      <c r="A625" s="50">
        <v>1.4139999999999999</v>
      </c>
      <c r="B625" s="52">
        <v>8098.6037999999999</v>
      </c>
      <c r="C625" s="52">
        <v>0</v>
      </c>
      <c r="D625" s="52">
        <v>1095.3956000000001</v>
      </c>
      <c r="E625" s="52">
        <v>1095.3956000000001</v>
      </c>
      <c r="F625" s="52">
        <v>0</v>
      </c>
      <c r="G625" s="52">
        <v>1460.5273999999999</v>
      </c>
      <c r="H625" s="52">
        <v>730.26369999999997</v>
      </c>
      <c r="I625" s="52">
        <v>1460.5273999999999</v>
      </c>
      <c r="J625" s="52">
        <v>376.08229999999998</v>
      </c>
      <c r="K625" s="52">
        <v>1128.2470000000001</v>
      </c>
      <c r="L625" s="52">
        <v>376.08229999999998</v>
      </c>
      <c r="M625" s="52">
        <v>376.08229999999998</v>
      </c>
      <c r="N625" s="5" t="s">
        <v>69</v>
      </c>
    </row>
    <row r="626" spans="1:14" x14ac:dyDescent="0.25">
      <c r="A626" s="50">
        <v>1.415</v>
      </c>
      <c r="B626" s="52">
        <v>8102.7353999999996</v>
      </c>
      <c r="C626" s="52">
        <v>0</v>
      </c>
      <c r="D626" s="52">
        <v>1096.1703</v>
      </c>
      <c r="E626" s="52">
        <v>1096.1703</v>
      </c>
      <c r="F626" s="52">
        <v>0</v>
      </c>
      <c r="G626" s="52">
        <v>1461.5604000000001</v>
      </c>
      <c r="H626" s="52">
        <v>730.78020000000004</v>
      </c>
      <c r="I626" s="52">
        <v>1461.5604000000001</v>
      </c>
      <c r="J626" s="52">
        <v>376.08229999999998</v>
      </c>
      <c r="K626" s="52">
        <v>1128.2470000000001</v>
      </c>
      <c r="L626" s="52">
        <v>376.08229999999998</v>
      </c>
      <c r="M626" s="52">
        <v>376.08229999999998</v>
      </c>
      <c r="N626" s="5" t="s">
        <v>69</v>
      </c>
    </row>
    <row r="627" spans="1:14" x14ac:dyDescent="0.25">
      <c r="A627" s="50">
        <v>1.4159999999999999</v>
      </c>
      <c r="B627" s="52">
        <v>8106.8670000000002</v>
      </c>
      <c r="C627" s="52">
        <v>0</v>
      </c>
      <c r="D627" s="52">
        <v>1096.9449</v>
      </c>
      <c r="E627" s="52">
        <v>1096.9449</v>
      </c>
      <c r="F627" s="52">
        <v>0</v>
      </c>
      <c r="G627" s="52">
        <v>1462.5933</v>
      </c>
      <c r="H627" s="52">
        <v>731.29660000000001</v>
      </c>
      <c r="I627" s="52">
        <v>1462.5933</v>
      </c>
      <c r="J627" s="52">
        <v>376.08229999999998</v>
      </c>
      <c r="K627" s="52">
        <v>1128.2470000000001</v>
      </c>
      <c r="L627" s="52">
        <v>376.08229999999998</v>
      </c>
      <c r="M627" s="52">
        <v>376.08229999999998</v>
      </c>
      <c r="N627" s="5" t="s">
        <v>69</v>
      </c>
    </row>
    <row r="628" spans="1:14" x14ac:dyDescent="0.25">
      <c r="A628" s="50">
        <v>1.417</v>
      </c>
      <c r="B628" s="52">
        <v>8110.9985999999999</v>
      </c>
      <c r="C628" s="52">
        <v>0</v>
      </c>
      <c r="D628" s="52">
        <v>1097.7195999999999</v>
      </c>
      <c r="E628" s="52">
        <v>1097.7195999999999</v>
      </c>
      <c r="F628" s="52">
        <v>0</v>
      </c>
      <c r="G628" s="52">
        <v>1463.6261999999999</v>
      </c>
      <c r="H628" s="52">
        <v>731.81309999999996</v>
      </c>
      <c r="I628" s="52">
        <v>1463.6261999999999</v>
      </c>
      <c r="J628" s="52">
        <v>376.08229999999998</v>
      </c>
      <c r="K628" s="52">
        <v>1128.2470000000001</v>
      </c>
      <c r="L628" s="52">
        <v>376.08229999999998</v>
      </c>
      <c r="M628" s="52">
        <v>376.08229999999998</v>
      </c>
      <c r="N628" s="5" t="s">
        <v>69</v>
      </c>
    </row>
    <row r="629" spans="1:14" x14ac:dyDescent="0.25">
      <c r="A629" s="50">
        <v>1.4179999999999999</v>
      </c>
      <c r="B629" s="52">
        <v>8115.1302999999998</v>
      </c>
      <c r="C629" s="52">
        <v>0</v>
      </c>
      <c r="D629" s="52">
        <v>1098.4943000000001</v>
      </c>
      <c r="E629" s="52">
        <v>1098.4943000000001</v>
      </c>
      <c r="F629" s="52">
        <v>0</v>
      </c>
      <c r="G629" s="52">
        <v>1464.6591000000001</v>
      </c>
      <c r="H629" s="52">
        <v>732.32950000000005</v>
      </c>
      <c r="I629" s="52">
        <v>1464.6591000000001</v>
      </c>
      <c r="J629" s="52">
        <v>376.08229999999998</v>
      </c>
      <c r="K629" s="52">
        <v>1128.2470000000001</v>
      </c>
      <c r="L629" s="52">
        <v>376.08229999999998</v>
      </c>
      <c r="M629" s="52">
        <v>376.08229999999998</v>
      </c>
      <c r="N629" s="5" t="s">
        <v>69</v>
      </c>
    </row>
    <row r="630" spans="1:14" x14ac:dyDescent="0.25">
      <c r="A630" s="50">
        <v>1.419</v>
      </c>
      <c r="B630" s="52">
        <v>8119.2619000000004</v>
      </c>
      <c r="C630" s="52">
        <v>0</v>
      </c>
      <c r="D630" s="52">
        <v>1099.269</v>
      </c>
      <c r="E630" s="52">
        <v>1099.269</v>
      </c>
      <c r="F630" s="52">
        <v>0</v>
      </c>
      <c r="G630" s="52">
        <v>1465.692</v>
      </c>
      <c r="H630" s="52">
        <v>732.846</v>
      </c>
      <c r="I630" s="52">
        <v>1465.692</v>
      </c>
      <c r="J630" s="52">
        <v>376.08229999999998</v>
      </c>
      <c r="K630" s="52">
        <v>1128.2470000000001</v>
      </c>
      <c r="L630" s="52">
        <v>376.08229999999998</v>
      </c>
      <c r="M630" s="52">
        <v>376.08229999999998</v>
      </c>
      <c r="N630" s="5" t="s">
        <v>69</v>
      </c>
    </row>
    <row r="631" spans="1:14" x14ac:dyDescent="0.25">
      <c r="A631" s="50">
        <v>1.42</v>
      </c>
      <c r="B631" s="52">
        <v>8123.3935000000001</v>
      </c>
      <c r="C631" s="52">
        <v>0</v>
      </c>
      <c r="D631" s="52">
        <v>1100.0436999999999</v>
      </c>
      <c r="E631" s="52">
        <v>1100.0436999999999</v>
      </c>
      <c r="F631" s="52">
        <v>0</v>
      </c>
      <c r="G631" s="52">
        <v>1466.7248999999999</v>
      </c>
      <c r="H631" s="52">
        <v>733.36239999999998</v>
      </c>
      <c r="I631" s="52">
        <v>1466.7248999999999</v>
      </c>
      <c r="J631" s="52">
        <v>376.08229999999998</v>
      </c>
      <c r="K631" s="52">
        <v>1128.2470000000001</v>
      </c>
      <c r="L631" s="52">
        <v>376.08229999999998</v>
      </c>
      <c r="M631" s="52">
        <v>376.08229999999998</v>
      </c>
      <c r="N631" s="5" t="s">
        <v>69</v>
      </c>
    </row>
    <row r="632" spans="1:14" x14ac:dyDescent="0.25">
      <c r="A632" s="50">
        <v>1.421</v>
      </c>
      <c r="B632" s="52">
        <v>8127.5250999999998</v>
      </c>
      <c r="C632" s="52">
        <v>0</v>
      </c>
      <c r="D632" s="52">
        <v>1100.8182999999999</v>
      </c>
      <c r="E632" s="52">
        <v>1100.8182999999999</v>
      </c>
      <c r="F632" s="52">
        <v>0</v>
      </c>
      <c r="G632" s="52">
        <v>1467.7578000000001</v>
      </c>
      <c r="H632" s="52">
        <v>733.87890000000004</v>
      </c>
      <c r="I632" s="52">
        <v>1467.7578000000001</v>
      </c>
      <c r="J632" s="52">
        <v>376.08229999999998</v>
      </c>
      <c r="K632" s="52">
        <v>1128.2470000000001</v>
      </c>
      <c r="L632" s="52">
        <v>376.08229999999998</v>
      </c>
      <c r="M632" s="52">
        <v>376.08229999999998</v>
      </c>
      <c r="N632" s="5" t="s">
        <v>69</v>
      </c>
    </row>
    <row r="633" spans="1:14" x14ac:dyDescent="0.25">
      <c r="A633" s="50">
        <v>1.4219999999999999</v>
      </c>
      <c r="B633" s="52">
        <v>8131.6566999999995</v>
      </c>
      <c r="C633" s="52">
        <v>0</v>
      </c>
      <c r="D633" s="52">
        <v>1101.5930000000001</v>
      </c>
      <c r="E633" s="52">
        <v>1101.5930000000001</v>
      </c>
      <c r="F633" s="52">
        <v>0</v>
      </c>
      <c r="G633" s="52">
        <v>1468.7907</v>
      </c>
      <c r="H633" s="52">
        <v>734.39530000000002</v>
      </c>
      <c r="I633" s="52">
        <v>1468.7907</v>
      </c>
      <c r="J633" s="52">
        <v>376.08229999999998</v>
      </c>
      <c r="K633" s="52">
        <v>1128.2470000000001</v>
      </c>
      <c r="L633" s="52">
        <v>376.08229999999998</v>
      </c>
      <c r="M633" s="52">
        <v>376.08229999999998</v>
      </c>
      <c r="N633" s="5" t="s">
        <v>69</v>
      </c>
    </row>
    <row r="634" spans="1:14" x14ac:dyDescent="0.25">
      <c r="A634" s="50">
        <v>1.423</v>
      </c>
      <c r="B634" s="52">
        <v>8135.7884000000004</v>
      </c>
      <c r="C634" s="52">
        <v>0</v>
      </c>
      <c r="D634" s="52">
        <v>1102.3677</v>
      </c>
      <c r="E634" s="52">
        <v>1102.3677</v>
      </c>
      <c r="F634" s="52">
        <v>0</v>
      </c>
      <c r="G634" s="52">
        <v>1469.8235999999999</v>
      </c>
      <c r="H634" s="52">
        <v>734.91179999999997</v>
      </c>
      <c r="I634" s="52">
        <v>1469.8235999999999</v>
      </c>
      <c r="J634" s="52">
        <v>376.08229999999998</v>
      </c>
      <c r="K634" s="52">
        <v>1128.2470000000001</v>
      </c>
      <c r="L634" s="52">
        <v>376.08229999999998</v>
      </c>
      <c r="M634" s="52">
        <v>376.08229999999998</v>
      </c>
      <c r="N634" s="5" t="s">
        <v>69</v>
      </c>
    </row>
    <row r="635" spans="1:14" x14ac:dyDescent="0.25">
      <c r="A635" s="50">
        <v>1.4239999999999999</v>
      </c>
      <c r="B635" s="52">
        <v>8139.92</v>
      </c>
      <c r="C635" s="52">
        <v>0</v>
      </c>
      <c r="D635" s="52">
        <v>1103.1424</v>
      </c>
      <c r="E635" s="52">
        <v>1103.1424</v>
      </c>
      <c r="F635" s="52">
        <v>0</v>
      </c>
      <c r="G635" s="52">
        <v>1470.8565000000001</v>
      </c>
      <c r="H635" s="52">
        <v>735.42819999999995</v>
      </c>
      <c r="I635" s="52">
        <v>1470.8565000000001</v>
      </c>
      <c r="J635" s="52">
        <v>376.08229999999998</v>
      </c>
      <c r="K635" s="52">
        <v>1128.2470000000001</v>
      </c>
      <c r="L635" s="52">
        <v>376.08229999999998</v>
      </c>
      <c r="M635" s="52">
        <v>376.08229999999998</v>
      </c>
      <c r="N635" s="5" t="s">
        <v>69</v>
      </c>
    </row>
    <row r="636" spans="1:14" x14ac:dyDescent="0.25">
      <c r="A636" s="50">
        <v>1.425</v>
      </c>
      <c r="B636" s="52">
        <v>8144.0515999999998</v>
      </c>
      <c r="C636" s="52">
        <v>0</v>
      </c>
      <c r="D636" s="52">
        <v>1103.9170999999999</v>
      </c>
      <c r="E636" s="52">
        <v>1103.9170999999999</v>
      </c>
      <c r="F636" s="52">
        <v>0</v>
      </c>
      <c r="G636" s="52">
        <v>1471.8894</v>
      </c>
      <c r="H636" s="52">
        <v>735.94470000000001</v>
      </c>
      <c r="I636" s="52">
        <v>1471.8894</v>
      </c>
      <c r="J636" s="52">
        <v>376.08229999999998</v>
      </c>
      <c r="K636" s="52">
        <v>1128.2470000000001</v>
      </c>
      <c r="L636" s="52">
        <v>376.08229999999998</v>
      </c>
      <c r="M636" s="52">
        <v>376.08229999999998</v>
      </c>
      <c r="N636" s="5" t="s">
        <v>69</v>
      </c>
    </row>
    <row r="637" spans="1:14" x14ac:dyDescent="0.25">
      <c r="A637" s="50">
        <v>1.4259999999999999</v>
      </c>
      <c r="B637" s="52">
        <v>8148.1832000000004</v>
      </c>
      <c r="C637" s="52">
        <v>0</v>
      </c>
      <c r="D637" s="52">
        <v>1104.6917000000001</v>
      </c>
      <c r="E637" s="52">
        <v>1104.6917000000001</v>
      </c>
      <c r="F637" s="52">
        <v>0</v>
      </c>
      <c r="G637" s="52">
        <v>1472.9223</v>
      </c>
      <c r="H637" s="52">
        <v>736.46119999999996</v>
      </c>
      <c r="I637" s="52">
        <v>1472.9223</v>
      </c>
      <c r="J637" s="52">
        <v>376.08229999999998</v>
      </c>
      <c r="K637" s="52">
        <v>1128.2470000000001</v>
      </c>
      <c r="L637" s="52">
        <v>376.08229999999998</v>
      </c>
      <c r="M637" s="52">
        <v>376.08229999999998</v>
      </c>
      <c r="N637" s="5" t="s">
        <v>69</v>
      </c>
    </row>
    <row r="638" spans="1:14" x14ac:dyDescent="0.25">
      <c r="A638" s="50">
        <v>1.427</v>
      </c>
      <c r="B638" s="52">
        <v>8152.3148000000001</v>
      </c>
      <c r="C638" s="52">
        <v>0</v>
      </c>
      <c r="D638" s="52">
        <v>1105.4664</v>
      </c>
      <c r="E638" s="52">
        <v>1105.4664</v>
      </c>
      <c r="F638" s="52">
        <v>0</v>
      </c>
      <c r="G638" s="52">
        <v>1473.9552000000001</v>
      </c>
      <c r="H638" s="52">
        <v>736.97760000000005</v>
      </c>
      <c r="I638" s="52">
        <v>1473.9552000000001</v>
      </c>
      <c r="J638" s="52">
        <v>376.08229999999998</v>
      </c>
      <c r="K638" s="52">
        <v>1128.2470000000001</v>
      </c>
      <c r="L638" s="52">
        <v>376.08229999999998</v>
      </c>
      <c r="M638" s="52">
        <v>376.08229999999998</v>
      </c>
      <c r="N638" s="5" t="s">
        <v>69</v>
      </c>
    </row>
    <row r="639" spans="1:14" x14ac:dyDescent="0.25">
      <c r="A639" s="50">
        <v>1.4279999999999999</v>
      </c>
      <c r="B639" s="52">
        <v>8156.4465</v>
      </c>
      <c r="C639" s="52">
        <v>0</v>
      </c>
      <c r="D639" s="52">
        <v>1106.2411</v>
      </c>
      <c r="E639" s="52">
        <v>1106.2411</v>
      </c>
      <c r="F639" s="52">
        <v>0</v>
      </c>
      <c r="G639" s="52">
        <v>1474.9881</v>
      </c>
      <c r="H639" s="52">
        <v>737.4941</v>
      </c>
      <c r="I639" s="52">
        <v>1474.9881</v>
      </c>
      <c r="J639" s="52">
        <v>376.08229999999998</v>
      </c>
      <c r="K639" s="52">
        <v>1128.2470000000001</v>
      </c>
      <c r="L639" s="52">
        <v>376.08229999999998</v>
      </c>
      <c r="M639" s="52">
        <v>376.08229999999998</v>
      </c>
      <c r="N639" s="5" t="s">
        <v>69</v>
      </c>
    </row>
    <row r="640" spans="1:14" x14ac:dyDescent="0.25">
      <c r="A640" s="50">
        <v>1.429</v>
      </c>
      <c r="B640" s="52">
        <v>8160.5780999999997</v>
      </c>
      <c r="C640" s="52">
        <v>0</v>
      </c>
      <c r="D640" s="52">
        <v>1107.0157999999999</v>
      </c>
      <c r="E640" s="52">
        <v>1107.0157999999999</v>
      </c>
      <c r="F640" s="52">
        <v>0</v>
      </c>
      <c r="G640" s="52">
        <v>1476.021</v>
      </c>
      <c r="H640" s="52">
        <v>738.01049999999998</v>
      </c>
      <c r="I640" s="52">
        <v>1476.021</v>
      </c>
      <c r="J640" s="52">
        <v>376.08229999999998</v>
      </c>
      <c r="K640" s="52">
        <v>1128.2470000000001</v>
      </c>
      <c r="L640" s="52">
        <v>376.08229999999998</v>
      </c>
      <c r="M640" s="52">
        <v>376.08229999999998</v>
      </c>
      <c r="N640" s="5" t="s">
        <v>69</v>
      </c>
    </row>
    <row r="641" spans="1:14" x14ac:dyDescent="0.25">
      <c r="A641" s="50">
        <v>1.43</v>
      </c>
      <c r="B641" s="52">
        <v>8164.7097000000003</v>
      </c>
      <c r="C641" s="52">
        <v>0</v>
      </c>
      <c r="D641" s="52">
        <v>1107.7904000000001</v>
      </c>
      <c r="E641" s="52">
        <v>1107.7904000000001</v>
      </c>
      <c r="F641" s="52">
        <v>0</v>
      </c>
      <c r="G641" s="52">
        <v>1477.0539000000001</v>
      </c>
      <c r="H641" s="52">
        <v>738.52700000000004</v>
      </c>
      <c r="I641" s="52">
        <v>1477.0539000000001</v>
      </c>
      <c r="J641" s="52">
        <v>376.08229999999998</v>
      </c>
      <c r="K641" s="52">
        <v>1128.2470000000001</v>
      </c>
      <c r="L641" s="52">
        <v>376.08229999999998</v>
      </c>
      <c r="M641" s="52">
        <v>376.08229999999998</v>
      </c>
      <c r="N641" s="5" t="s">
        <v>69</v>
      </c>
    </row>
    <row r="642" spans="1:14" x14ac:dyDescent="0.25">
      <c r="A642" s="50">
        <v>1.431</v>
      </c>
      <c r="B642" s="52">
        <v>8168.8413</v>
      </c>
      <c r="C642" s="52">
        <v>0</v>
      </c>
      <c r="D642" s="52">
        <v>1108.5651</v>
      </c>
      <c r="E642" s="52">
        <v>1108.5651</v>
      </c>
      <c r="F642" s="52">
        <v>0</v>
      </c>
      <c r="G642" s="52">
        <v>1478.0868</v>
      </c>
      <c r="H642" s="52">
        <v>739.04340000000002</v>
      </c>
      <c r="I642" s="52">
        <v>1478.0868</v>
      </c>
      <c r="J642" s="52">
        <v>376.08229999999998</v>
      </c>
      <c r="K642" s="52">
        <v>1128.2470000000001</v>
      </c>
      <c r="L642" s="52">
        <v>376.08229999999998</v>
      </c>
      <c r="M642" s="52">
        <v>376.08229999999998</v>
      </c>
      <c r="N642" s="5" t="s">
        <v>69</v>
      </c>
    </row>
    <row r="643" spans="1:14" x14ac:dyDescent="0.25">
      <c r="A643" s="50">
        <v>1.4319999999999999</v>
      </c>
      <c r="B643" s="52">
        <v>8172.9728999999998</v>
      </c>
      <c r="C643" s="52">
        <v>0</v>
      </c>
      <c r="D643" s="52">
        <v>1109.3398</v>
      </c>
      <c r="E643" s="52">
        <v>1109.3398</v>
      </c>
      <c r="F643" s="52">
        <v>0</v>
      </c>
      <c r="G643" s="52">
        <v>1479.1197</v>
      </c>
      <c r="H643" s="52">
        <v>739.55989999999997</v>
      </c>
      <c r="I643" s="52">
        <v>1479.1197</v>
      </c>
      <c r="J643" s="52">
        <v>376.08229999999998</v>
      </c>
      <c r="K643" s="52">
        <v>1128.2470000000001</v>
      </c>
      <c r="L643" s="52">
        <v>376.08229999999998</v>
      </c>
      <c r="M643" s="52">
        <v>376.08229999999998</v>
      </c>
      <c r="N643" s="5" t="s">
        <v>69</v>
      </c>
    </row>
    <row r="644" spans="1:14" x14ac:dyDescent="0.25">
      <c r="A644" s="50">
        <v>1.4330000000000001</v>
      </c>
      <c r="B644" s="52">
        <v>8177.1045999999997</v>
      </c>
      <c r="C644" s="52">
        <v>0</v>
      </c>
      <c r="D644" s="52">
        <v>1110.1144999999999</v>
      </c>
      <c r="E644" s="52">
        <v>1110.1144999999999</v>
      </c>
      <c r="F644" s="52">
        <v>0</v>
      </c>
      <c r="G644" s="52">
        <v>1480.1525999999999</v>
      </c>
      <c r="H644" s="52">
        <v>740.07629999999995</v>
      </c>
      <c r="I644" s="52">
        <v>1480.1525999999999</v>
      </c>
      <c r="J644" s="52">
        <v>376.08229999999998</v>
      </c>
      <c r="K644" s="52">
        <v>1128.2470000000001</v>
      </c>
      <c r="L644" s="52">
        <v>376.08229999999998</v>
      </c>
      <c r="M644" s="52">
        <v>376.08229999999998</v>
      </c>
      <c r="N644" s="5" t="s">
        <v>69</v>
      </c>
    </row>
    <row r="645" spans="1:14" x14ac:dyDescent="0.25">
      <c r="A645" s="50">
        <v>1.4339999999999999</v>
      </c>
      <c r="B645" s="52">
        <v>8181.2362000000003</v>
      </c>
      <c r="C645" s="52">
        <v>0</v>
      </c>
      <c r="D645" s="52">
        <v>1110.8892000000001</v>
      </c>
      <c r="E645" s="52">
        <v>1110.8892000000001</v>
      </c>
      <c r="F645" s="52">
        <v>0</v>
      </c>
      <c r="G645" s="52">
        <v>1481.1855</v>
      </c>
      <c r="H645" s="52">
        <v>740.59280000000001</v>
      </c>
      <c r="I645" s="52">
        <v>1481.1855</v>
      </c>
      <c r="J645" s="52">
        <v>376.08229999999998</v>
      </c>
      <c r="K645" s="52">
        <v>1128.2470000000001</v>
      </c>
      <c r="L645" s="52">
        <v>376.08229999999998</v>
      </c>
      <c r="M645" s="52">
        <v>376.08229999999998</v>
      </c>
      <c r="N645" s="5" t="s">
        <v>69</v>
      </c>
    </row>
    <row r="646" spans="1:14" x14ac:dyDescent="0.25">
      <c r="A646" s="50">
        <v>1.4350000000000001</v>
      </c>
      <c r="B646" s="52">
        <v>8185.3678</v>
      </c>
      <c r="C646" s="52">
        <v>0</v>
      </c>
      <c r="D646" s="52">
        <v>1111.6638</v>
      </c>
      <c r="E646" s="52">
        <v>1111.6638</v>
      </c>
      <c r="F646" s="52">
        <v>0</v>
      </c>
      <c r="G646" s="52">
        <v>1482.2184</v>
      </c>
      <c r="H646" s="52">
        <v>741.10919999999999</v>
      </c>
      <c r="I646" s="52">
        <v>1482.2184</v>
      </c>
      <c r="J646" s="52">
        <v>376.08229999999998</v>
      </c>
      <c r="K646" s="52">
        <v>1128.2470000000001</v>
      </c>
      <c r="L646" s="52">
        <v>376.08229999999998</v>
      </c>
      <c r="M646" s="52">
        <v>376.08229999999998</v>
      </c>
      <c r="N646" s="5" t="s">
        <v>69</v>
      </c>
    </row>
    <row r="647" spans="1:14" x14ac:dyDescent="0.25">
      <c r="A647" s="50">
        <v>1.4359999999999999</v>
      </c>
      <c r="B647" s="52">
        <v>8189.4993999999997</v>
      </c>
      <c r="C647" s="52">
        <v>0</v>
      </c>
      <c r="D647" s="52">
        <v>1112.4385</v>
      </c>
      <c r="E647" s="52">
        <v>1112.4385</v>
      </c>
      <c r="F647" s="52">
        <v>0</v>
      </c>
      <c r="G647" s="52">
        <v>1483.2514000000001</v>
      </c>
      <c r="H647" s="52">
        <v>741.62570000000005</v>
      </c>
      <c r="I647" s="52">
        <v>1483.2514000000001</v>
      </c>
      <c r="J647" s="52">
        <v>376.08229999999998</v>
      </c>
      <c r="K647" s="52">
        <v>1128.2470000000001</v>
      </c>
      <c r="L647" s="52">
        <v>376.08229999999998</v>
      </c>
      <c r="M647" s="52">
        <v>376.08229999999998</v>
      </c>
      <c r="N647" s="5" t="s">
        <v>69</v>
      </c>
    </row>
    <row r="648" spans="1:14" x14ac:dyDescent="0.25">
      <c r="A648" s="50">
        <v>1.4370000000000001</v>
      </c>
      <c r="B648" s="52">
        <v>8193.6309999999994</v>
      </c>
      <c r="C648" s="52">
        <v>0</v>
      </c>
      <c r="D648" s="52">
        <v>1113.2131999999999</v>
      </c>
      <c r="E648" s="52">
        <v>1113.2131999999999</v>
      </c>
      <c r="F648" s="52">
        <v>0</v>
      </c>
      <c r="G648" s="52">
        <v>1484.2843</v>
      </c>
      <c r="H648" s="52">
        <v>742.14210000000003</v>
      </c>
      <c r="I648" s="52">
        <v>1484.2843</v>
      </c>
      <c r="J648" s="52">
        <v>376.08229999999998</v>
      </c>
      <c r="K648" s="52">
        <v>1128.2470000000001</v>
      </c>
      <c r="L648" s="52">
        <v>376.08229999999998</v>
      </c>
      <c r="M648" s="52">
        <v>376.08229999999998</v>
      </c>
      <c r="N648" s="5" t="s">
        <v>69</v>
      </c>
    </row>
    <row r="649" spans="1:14" x14ac:dyDescent="0.25">
      <c r="A649" s="50">
        <v>1.4379999999999999</v>
      </c>
      <c r="B649" s="52">
        <v>8197.7626</v>
      </c>
      <c r="C649" s="52">
        <v>0</v>
      </c>
      <c r="D649" s="52">
        <v>1113.9879000000001</v>
      </c>
      <c r="E649" s="52">
        <v>1113.9879000000001</v>
      </c>
      <c r="F649" s="52">
        <v>0</v>
      </c>
      <c r="G649" s="52">
        <v>1485.3172</v>
      </c>
      <c r="H649" s="52">
        <v>742.65859999999998</v>
      </c>
      <c r="I649" s="52">
        <v>1485.3172</v>
      </c>
      <c r="J649" s="52">
        <v>376.08229999999998</v>
      </c>
      <c r="K649" s="52">
        <v>1128.2470000000001</v>
      </c>
      <c r="L649" s="52">
        <v>376.08229999999998</v>
      </c>
      <c r="M649" s="52">
        <v>376.08229999999998</v>
      </c>
      <c r="N649" s="5" t="s">
        <v>69</v>
      </c>
    </row>
    <row r="650" spans="1:14" x14ac:dyDescent="0.25">
      <c r="A650" s="50">
        <v>1.4390000000000001</v>
      </c>
      <c r="B650" s="52">
        <v>8201.8942999999999</v>
      </c>
      <c r="C650" s="52">
        <v>0</v>
      </c>
      <c r="D650" s="52">
        <v>1114.7626</v>
      </c>
      <c r="E650" s="52">
        <v>1114.7626</v>
      </c>
      <c r="F650" s="52">
        <v>0</v>
      </c>
      <c r="G650" s="52">
        <v>1486.3501000000001</v>
      </c>
      <c r="H650" s="52">
        <v>743.17499999999995</v>
      </c>
      <c r="I650" s="52">
        <v>1486.3501000000001</v>
      </c>
      <c r="J650" s="52">
        <v>376.08229999999998</v>
      </c>
      <c r="K650" s="52">
        <v>1128.2470000000001</v>
      </c>
      <c r="L650" s="52">
        <v>376.08229999999998</v>
      </c>
      <c r="M650" s="52">
        <v>376.08229999999998</v>
      </c>
      <c r="N650" s="5" t="s">
        <v>69</v>
      </c>
    </row>
    <row r="651" spans="1:14" x14ac:dyDescent="0.25">
      <c r="A651" s="50">
        <v>1.44</v>
      </c>
      <c r="B651" s="52">
        <v>8206.0259000000005</v>
      </c>
      <c r="C651" s="52">
        <v>0</v>
      </c>
      <c r="D651" s="52">
        <v>1115.5372</v>
      </c>
      <c r="E651" s="52">
        <v>1115.5372</v>
      </c>
      <c r="F651" s="52">
        <v>0</v>
      </c>
      <c r="G651" s="52">
        <v>1487.383</v>
      </c>
      <c r="H651" s="52">
        <v>743.69150000000002</v>
      </c>
      <c r="I651" s="52">
        <v>1487.383</v>
      </c>
      <c r="J651" s="52">
        <v>376.08229999999998</v>
      </c>
      <c r="K651" s="52">
        <v>1128.2470000000001</v>
      </c>
      <c r="L651" s="52">
        <v>376.08229999999998</v>
      </c>
      <c r="M651" s="52">
        <v>376.08229999999998</v>
      </c>
      <c r="N651" s="5" t="s">
        <v>69</v>
      </c>
    </row>
    <row r="652" spans="1:14" x14ac:dyDescent="0.25">
      <c r="A652" s="50">
        <v>1.4410000000000001</v>
      </c>
      <c r="B652" s="52">
        <v>8210.1574999999993</v>
      </c>
      <c r="C652" s="52">
        <v>0</v>
      </c>
      <c r="D652" s="52">
        <v>1116.3118999999999</v>
      </c>
      <c r="E652" s="52">
        <v>1116.3118999999999</v>
      </c>
      <c r="F652" s="52">
        <v>0</v>
      </c>
      <c r="G652" s="52">
        <v>1488.4159</v>
      </c>
      <c r="H652" s="52">
        <v>744.2079</v>
      </c>
      <c r="I652" s="52">
        <v>1488.4159</v>
      </c>
      <c r="J652" s="52">
        <v>376.08229999999998</v>
      </c>
      <c r="K652" s="52">
        <v>1128.2470000000001</v>
      </c>
      <c r="L652" s="52">
        <v>376.08229999999998</v>
      </c>
      <c r="M652" s="52">
        <v>376.08229999999998</v>
      </c>
      <c r="N652" s="5" t="s">
        <v>69</v>
      </c>
    </row>
    <row r="653" spans="1:14" x14ac:dyDescent="0.25">
      <c r="A653" s="50">
        <v>1.4419999999999999</v>
      </c>
      <c r="B653" s="52">
        <v>8214.2891</v>
      </c>
      <c r="C653" s="52">
        <v>0</v>
      </c>
      <c r="D653" s="52">
        <v>1117.0866000000001</v>
      </c>
      <c r="E653" s="52">
        <v>1117.0866000000001</v>
      </c>
      <c r="F653" s="52">
        <v>0</v>
      </c>
      <c r="G653" s="52">
        <v>1489.4487999999999</v>
      </c>
      <c r="H653" s="52">
        <v>744.72439999999995</v>
      </c>
      <c r="I653" s="52">
        <v>1489.4487999999999</v>
      </c>
      <c r="J653" s="52">
        <v>376.08229999999998</v>
      </c>
      <c r="K653" s="52">
        <v>1128.2470000000001</v>
      </c>
      <c r="L653" s="52">
        <v>376.08229999999998</v>
      </c>
      <c r="M653" s="52">
        <v>376.08229999999998</v>
      </c>
      <c r="N653" s="5" t="s">
        <v>69</v>
      </c>
    </row>
    <row r="654" spans="1:14" x14ac:dyDescent="0.25">
      <c r="A654" s="50">
        <v>1.4430000000000001</v>
      </c>
      <c r="B654" s="52">
        <v>8218.4207000000006</v>
      </c>
      <c r="C654" s="52">
        <v>0</v>
      </c>
      <c r="D654" s="52">
        <v>1117.8613</v>
      </c>
      <c r="E654" s="52">
        <v>1117.8613</v>
      </c>
      <c r="F654" s="52">
        <v>0</v>
      </c>
      <c r="G654" s="52">
        <v>1490.4817</v>
      </c>
      <c r="H654" s="52">
        <v>745.24080000000004</v>
      </c>
      <c r="I654" s="52">
        <v>1490.4817</v>
      </c>
      <c r="J654" s="52">
        <v>376.08229999999998</v>
      </c>
      <c r="K654" s="52">
        <v>1128.2470000000001</v>
      </c>
      <c r="L654" s="52">
        <v>376.08229999999998</v>
      </c>
      <c r="M654" s="52">
        <v>376.08229999999998</v>
      </c>
      <c r="N654" s="5" t="s">
        <v>69</v>
      </c>
    </row>
    <row r="655" spans="1:14" x14ac:dyDescent="0.25">
      <c r="A655" s="50">
        <v>1.444</v>
      </c>
      <c r="B655" s="52">
        <v>8222.5524000000005</v>
      </c>
      <c r="C655" s="52">
        <v>0</v>
      </c>
      <c r="D655" s="52">
        <v>1118.6359</v>
      </c>
      <c r="E655" s="52">
        <v>1118.6359</v>
      </c>
      <c r="F655" s="52">
        <v>0</v>
      </c>
      <c r="G655" s="52">
        <v>1491.5146</v>
      </c>
      <c r="H655" s="52">
        <v>745.75729999999999</v>
      </c>
      <c r="I655" s="52">
        <v>1491.5146</v>
      </c>
      <c r="J655" s="52">
        <v>376.08229999999998</v>
      </c>
      <c r="K655" s="52">
        <v>1128.2470000000001</v>
      </c>
      <c r="L655" s="52">
        <v>376.08229999999998</v>
      </c>
      <c r="M655" s="52">
        <v>376.08229999999998</v>
      </c>
      <c r="N655" s="5" t="s">
        <v>69</v>
      </c>
    </row>
    <row r="656" spans="1:14" x14ac:dyDescent="0.25">
      <c r="A656" s="50">
        <v>1.4450000000000001</v>
      </c>
      <c r="B656" s="52">
        <v>8226.6839999999993</v>
      </c>
      <c r="C656" s="52">
        <v>0</v>
      </c>
      <c r="D656" s="52">
        <v>1119.4105999999999</v>
      </c>
      <c r="E656" s="52">
        <v>1119.4105999999999</v>
      </c>
      <c r="F656" s="52">
        <v>0</v>
      </c>
      <c r="G656" s="52">
        <v>1492.5474999999999</v>
      </c>
      <c r="H656" s="52">
        <v>746.27369999999996</v>
      </c>
      <c r="I656" s="52">
        <v>1492.5474999999999</v>
      </c>
      <c r="J656" s="52">
        <v>376.08229999999998</v>
      </c>
      <c r="K656" s="52">
        <v>1128.2470000000001</v>
      </c>
      <c r="L656" s="52">
        <v>376.08229999999998</v>
      </c>
      <c r="M656" s="52">
        <v>376.08229999999998</v>
      </c>
      <c r="N656" s="5" t="s">
        <v>69</v>
      </c>
    </row>
    <row r="657" spans="1:14" x14ac:dyDescent="0.25">
      <c r="A657" s="50">
        <v>1.446</v>
      </c>
      <c r="B657" s="52">
        <v>8230.8155999999999</v>
      </c>
      <c r="C657" s="52">
        <v>0</v>
      </c>
      <c r="D657" s="52">
        <v>1120.1853000000001</v>
      </c>
      <c r="E657" s="52">
        <v>1120.1853000000001</v>
      </c>
      <c r="F657" s="52">
        <v>0</v>
      </c>
      <c r="G657" s="52">
        <v>1493.5804000000001</v>
      </c>
      <c r="H657" s="52">
        <v>746.79020000000003</v>
      </c>
      <c r="I657" s="52">
        <v>1493.5804000000001</v>
      </c>
      <c r="J657" s="52">
        <v>376.08229999999998</v>
      </c>
      <c r="K657" s="52">
        <v>1128.2470000000001</v>
      </c>
      <c r="L657" s="52">
        <v>376.08229999999998</v>
      </c>
      <c r="M657" s="52">
        <v>376.08229999999998</v>
      </c>
      <c r="N657" s="5" t="s">
        <v>69</v>
      </c>
    </row>
    <row r="658" spans="1:14" x14ac:dyDescent="0.25">
      <c r="A658" s="50">
        <v>1.4470000000000001</v>
      </c>
      <c r="B658" s="52">
        <v>8234.9472000000005</v>
      </c>
      <c r="C658" s="52">
        <v>0</v>
      </c>
      <c r="D658" s="52">
        <v>1120.96</v>
      </c>
      <c r="E658" s="52">
        <v>1120.96</v>
      </c>
      <c r="F658" s="52">
        <v>0</v>
      </c>
      <c r="G658" s="52">
        <v>1494.6133</v>
      </c>
      <c r="H658" s="52">
        <v>747.30669999999998</v>
      </c>
      <c r="I658" s="52">
        <v>1494.6133</v>
      </c>
      <c r="J658" s="52">
        <v>376.08229999999998</v>
      </c>
      <c r="K658" s="52">
        <v>1128.2470000000001</v>
      </c>
      <c r="L658" s="52">
        <v>376.08229999999998</v>
      </c>
      <c r="M658" s="52">
        <v>376.08229999999998</v>
      </c>
      <c r="N658" s="5" t="s">
        <v>69</v>
      </c>
    </row>
    <row r="659" spans="1:14" x14ac:dyDescent="0.25">
      <c r="A659" s="50">
        <v>1.448</v>
      </c>
      <c r="B659" s="52">
        <v>8239.0787999999993</v>
      </c>
      <c r="C659" s="52">
        <v>0</v>
      </c>
      <c r="D659" s="52">
        <v>1121.7347</v>
      </c>
      <c r="E659" s="52">
        <v>1121.7347</v>
      </c>
      <c r="F659" s="52">
        <v>0</v>
      </c>
      <c r="G659" s="52">
        <v>1495.6461999999999</v>
      </c>
      <c r="H659" s="52">
        <v>747.82309999999995</v>
      </c>
      <c r="I659" s="52">
        <v>1495.6461999999999</v>
      </c>
      <c r="J659" s="52">
        <v>376.08229999999998</v>
      </c>
      <c r="K659" s="52">
        <v>1128.2470000000001</v>
      </c>
      <c r="L659" s="52">
        <v>376.08229999999998</v>
      </c>
      <c r="M659" s="52">
        <v>376.08229999999998</v>
      </c>
      <c r="N659" s="5" t="s">
        <v>69</v>
      </c>
    </row>
    <row r="660" spans="1:14" x14ac:dyDescent="0.25">
      <c r="A660" s="50">
        <v>1.4490000000000001</v>
      </c>
      <c r="B660" s="52">
        <v>8243.2104999999992</v>
      </c>
      <c r="C660" s="52">
        <v>0</v>
      </c>
      <c r="D660" s="52">
        <v>1122.5092999999999</v>
      </c>
      <c r="E660" s="52">
        <v>1122.5092999999999</v>
      </c>
      <c r="F660" s="52">
        <v>0</v>
      </c>
      <c r="G660" s="52">
        <v>1496.6791000000001</v>
      </c>
      <c r="H660" s="52">
        <v>748.33960000000002</v>
      </c>
      <c r="I660" s="52">
        <v>1496.6791000000001</v>
      </c>
      <c r="J660" s="52">
        <v>376.08229999999998</v>
      </c>
      <c r="K660" s="52">
        <v>1128.2470000000001</v>
      </c>
      <c r="L660" s="52">
        <v>376.08229999999998</v>
      </c>
      <c r="M660" s="52">
        <v>376.08229999999998</v>
      </c>
      <c r="N660" s="5" t="s">
        <v>69</v>
      </c>
    </row>
    <row r="661" spans="1:14" x14ac:dyDescent="0.25">
      <c r="A661" s="50">
        <v>1.45</v>
      </c>
      <c r="B661" s="52">
        <v>8247.3420999999998</v>
      </c>
      <c r="C661" s="52">
        <v>0</v>
      </c>
      <c r="D661" s="52">
        <v>1123.2840000000001</v>
      </c>
      <c r="E661" s="52">
        <v>1123.2840000000001</v>
      </c>
      <c r="F661" s="52">
        <v>0</v>
      </c>
      <c r="G661" s="52">
        <v>1497.712</v>
      </c>
      <c r="H661" s="52">
        <v>748.85599999999999</v>
      </c>
      <c r="I661" s="52">
        <v>1497.712</v>
      </c>
      <c r="J661" s="52">
        <v>376.08229999999998</v>
      </c>
      <c r="K661" s="52">
        <v>1128.2470000000001</v>
      </c>
      <c r="L661" s="52">
        <v>376.08229999999998</v>
      </c>
      <c r="M661" s="52">
        <v>376.08229999999998</v>
      </c>
      <c r="N661" s="5" t="s">
        <v>69</v>
      </c>
    </row>
    <row r="662" spans="1:14" x14ac:dyDescent="0.25">
      <c r="A662" s="50">
        <v>1.4510000000000001</v>
      </c>
      <c r="B662" s="52">
        <v>8251.4737000000005</v>
      </c>
      <c r="C662" s="52">
        <v>0</v>
      </c>
      <c r="D662" s="52">
        <v>1124.0587</v>
      </c>
      <c r="E662" s="52">
        <v>1124.0587</v>
      </c>
      <c r="F662" s="52">
        <v>0</v>
      </c>
      <c r="G662" s="52">
        <v>1498.7448999999999</v>
      </c>
      <c r="H662" s="52">
        <v>749.37249999999995</v>
      </c>
      <c r="I662" s="52">
        <v>1498.7448999999999</v>
      </c>
      <c r="J662" s="52">
        <v>376.08229999999998</v>
      </c>
      <c r="K662" s="52">
        <v>1128.2470000000001</v>
      </c>
      <c r="L662" s="52">
        <v>376.08229999999998</v>
      </c>
      <c r="M662" s="52">
        <v>376.08229999999998</v>
      </c>
      <c r="N662" s="5" t="s">
        <v>69</v>
      </c>
    </row>
    <row r="663" spans="1:14" x14ac:dyDescent="0.25">
      <c r="A663" s="50">
        <v>1.452</v>
      </c>
      <c r="B663" s="52">
        <v>8255.6052999999993</v>
      </c>
      <c r="C663" s="52">
        <v>0</v>
      </c>
      <c r="D663" s="52">
        <v>1124.8334</v>
      </c>
      <c r="E663" s="52">
        <v>1124.8334</v>
      </c>
      <c r="F663" s="52">
        <v>0</v>
      </c>
      <c r="G663" s="52">
        <v>1499.7778000000001</v>
      </c>
      <c r="H663" s="52">
        <v>749.88890000000004</v>
      </c>
      <c r="I663" s="52">
        <v>1499.7778000000001</v>
      </c>
      <c r="J663" s="52">
        <v>376.08229999999998</v>
      </c>
      <c r="K663" s="52">
        <v>1128.2470000000001</v>
      </c>
      <c r="L663" s="52">
        <v>376.08229999999998</v>
      </c>
      <c r="M663" s="52">
        <v>376.08229999999998</v>
      </c>
      <c r="N663" s="5" t="s">
        <v>69</v>
      </c>
    </row>
    <row r="664" spans="1:14" x14ac:dyDescent="0.25">
      <c r="A664" s="50">
        <v>1.4530000000000001</v>
      </c>
      <c r="B664" s="52">
        <v>8259.7368999999999</v>
      </c>
      <c r="C664" s="52">
        <v>0</v>
      </c>
      <c r="D664" s="52">
        <v>1125.6080999999999</v>
      </c>
      <c r="E664" s="52">
        <v>1125.6080999999999</v>
      </c>
      <c r="F664" s="52">
        <v>0</v>
      </c>
      <c r="G664" s="52">
        <v>1500.8107</v>
      </c>
      <c r="H664" s="52">
        <v>750.40539999999999</v>
      </c>
      <c r="I664" s="52">
        <v>1500.8107</v>
      </c>
      <c r="J664" s="52">
        <v>376.08229999999998</v>
      </c>
      <c r="K664" s="52">
        <v>1128.2470000000001</v>
      </c>
      <c r="L664" s="52">
        <v>376.08229999999998</v>
      </c>
      <c r="M664" s="52">
        <v>376.08229999999998</v>
      </c>
      <c r="N664" s="5" t="s">
        <v>69</v>
      </c>
    </row>
    <row r="665" spans="1:14" x14ac:dyDescent="0.25">
      <c r="A665" s="50">
        <v>1.454</v>
      </c>
      <c r="B665" s="52">
        <v>8263.8685999999998</v>
      </c>
      <c r="C665" s="52">
        <v>0</v>
      </c>
      <c r="D665" s="52">
        <v>1126.3827000000001</v>
      </c>
      <c r="E665" s="52">
        <v>1126.3827000000001</v>
      </c>
      <c r="F665" s="52">
        <v>0</v>
      </c>
      <c r="G665" s="52">
        <v>1501.8435999999999</v>
      </c>
      <c r="H665" s="52">
        <v>750.92179999999996</v>
      </c>
      <c r="I665" s="52">
        <v>1501.8435999999999</v>
      </c>
      <c r="J665" s="52">
        <v>376.08229999999998</v>
      </c>
      <c r="K665" s="52">
        <v>1128.2470000000001</v>
      </c>
      <c r="L665" s="52">
        <v>376.08229999999998</v>
      </c>
      <c r="M665" s="52">
        <v>376.08229999999998</v>
      </c>
      <c r="N665" s="5" t="s">
        <v>69</v>
      </c>
    </row>
    <row r="666" spans="1:14" x14ac:dyDescent="0.25">
      <c r="A666" s="50">
        <v>1.4550000000000001</v>
      </c>
      <c r="B666" s="52">
        <v>8268.0002000000004</v>
      </c>
      <c r="C666" s="52">
        <v>0</v>
      </c>
      <c r="D666" s="52">
        <v>1127.1574000000001</v>
      </c>
      <c r="E666" s="52">
        <v>1127.1574000000001</v>
      </c>
      <c r="F666" s="52">
        <v>0</v>
      </c>
      <c r="G666" s="52">
        <v>1502.8765000000001</v>
      </c>
      <c r="H666" s="52">
        <v>751.43830000000003</v>
      </c>
      <c r="I666" s="52">
        <v>1502.8765000000001</v>
      </c>
      <c r="J666" s="52">
        <v>376.08229999999998</v>
      </c>
      <c r="K666" s="52">
        <v>1128.2470000000001</v>
      </c>
      <c r="L666" s="52">
        <v>376.08229999999998</v>
      </c>
      <c r="M666" s="52">
        <v>376.08229999999998</v>
      </c>
      <c r="N666" s="5" t="s">
        <v>69</v>
      </c>
    </row>
    <row r="667" spans="1:14" x14ac:dyDescent="0.25">
      <c r="A667" s="50">
        <v>1.456</v>
      </c>
      <c r="B667" s="52">
        <v>8272.1317999999992</v>
      </c>
      <c r="C667" s="52">
        <v>0</v>
      </c>
      <c r="D667" s="52">
        <v>1127.9321</v>
      </c>
      <c r="E667" s="52">
        <v>1127.9321</v>
      </c>
      <c r="F667" s="52">
        <v>0</v>
      </c>
      <c r="G667" s="52">
        <v>1503.9095</v>
      </c>
      <c r="H667" s="52">
        <v>751.9547</v>
      </c>
      <c r="I667" s="52">
        <v>1503.9095</v>
      </c>
      <c r="J667" s="52">
        <v>376.08229999999998</v>
      </c>
      <c r="K667" s="52">
        <v>1128.2470000000001</v>
      </c>
      <c r="L667" s="52">
        <v>376.08229999999998</v>
      </c>
      <c r="M667" s="52">
        <v>376.08229999999998</v>
      </c>
      <c r="N667" s="5" t="s">
        <v>69</v>
      </c>
    </row>
    <row r="668" spans="1:14" x14ac:dyDescent="0.25">
      <c r="A668" s="50">
        <v>1.4570000000000001</v>
      </c>
      <c r="B668" s="52">
        <v>8276.2633999999998</v>
      </c>
      <c r="C668" s="52">
        <v>0</v>
      </c>
      <c r="D668" s="52">
        <v>1128.7067999999999</v>
      </c>
      <c r="E668" s="52">
        <v>1128.7067999999999</v>
      </c>
      <c r="F668" s="52">
        <v>0</v>
      </c>
      <c r="G668" s="52">
        <v>1504.9423999999999</v>
      </c>
      <c r="H668" s="52">
        <v>752.47119999999995</v>
      </c>
      <c r="I668" s="52">
        <v>1504.9423999999999</v>
      </c>
      <c r="J668" s="52">
        <v>376.08229999999998</v>
      </c>
      <c r="K668" s="52">
        <v>1128.2470000000001</v>
      </c>
      <c r="L668" s="52">
        <v>376.08229999999998</v>
      </c>
      <c r="M668" s="52">
        <v>376.08229999999998</v>
      </c>
      <c r="N668" s="5" t="s">
        <v>69</v>
      </c>
    </row>
    <row r="669" spans="1:14" x14ac:dyDescent="0.25">
      <c r="A669" s="50">
        <v>1.458</v>
      </c>
      <c r="B669" s="52">
        <v>8280.3950000000004</v>
      </c>
      <c r="C669" s="52">
        <v>0</v>
      </c>
      <c r="D669" s="52">
        <v>1129.4813999999999</v>
      </c>
      <c r="E669" s="52">
        <v>1129.4813999999999</v>
      </c>
      <c r="F669" s="52">
        <v>0</v>
      </c>
      <c r="G669" s="52">
        <v>1505.9753000000001</v>
      </c>
      <c r="H669" s="52">
        <v>752.98760000000004</v>
      </c>
      <c r="I669" s="52">
        <v>1505.9753000000001</v>
      </c>
      <c r="J669" s="52">
        <v>376.08229999999998</v>
      </c>
      <c r="K669" s="52">
        <v>1128.2470000000001</v>
      </c>
      <c r="L669" s="52">
        <v>376.08229999999998</v>
      </c>
      <c r="M669" s="52">
        <v>376.08229999999998</v>
      </c>
      <c r="N669" s="5" t="s">
        <v>69</v>
      </c>
    </row>
    <row r="670" spans="1:14" x14ac:dyDescent="0.25">
      <c r="A670" s="50">
        <v>1.4590000000000001</v>
      </c>
      <c r="B670" s="52">
        <v>8284.5267000000003</v>
      </c>
      <c r="C670" s="52">
        <v>0</v>
      </c>
      <c r="D670" s="52">
        <v>1130.2561000000001</v>
      </c>
      <c r="E670" s="52">
        <v>1130.2561000000001</v>
      </c>
      <c r="F670" s="52">
        <v>0</v>
      </c>
      <c r="G670" s="52">
        <v>1507.0082</v>
      </c>
      <c r="H670" s="52">
        <v>753.50409999999999</v>
      </c>
      <c r="I670" s="52">
        <v>1507.0082</v>
      </c>
      <c r="J670" s="52">
        <v>376.08229999999998</v>
      </c>
      <c r="K670" s="52">
        <v>1128.2470000000001</v>
      </c>
      <c r="L670" s="52">
        <v>376.08229999999998</v>
      </c>
      <c r="M670" s="52">
        <v>376.08229999999998</v>
      </c>
      <c r="N670" s="5" t="s">
        <v>69</v>
      </c>
    </row>
    <row r="671" spans="1:14" x14ac:dyDescent="0.25">
      <c r="A671" s="50">
        <v>1.46</v>
      </c>
      <c r="B671" s="52">
        <v>8288.6582999999991</v>
      </c>
      <c r="C671" s="52">
        <v>0</v>
      </c>
      <c r="D671" s="52">
        <v>1131.0308</v>
      </c>
      <c r="E671" s="52">
        <v>1131.0308</v>
      </c>
      <c r="F671" s="52">
        <v>0</v>
      </c>
      <c r="G671" s="52">
        <v>1508.0410999999999</v>
      </c>
      <c r="H671" s="52">
        <v>754.02049999999997</v>
      </c>
      <c r="I671" s="52">
        <v>1508.0410999999999</v>
      </c>
      <c r="J671" s="52">
        <v>376.08229999999998</v>
      </c>
      <c r="K671" s="52">
        <v>1128.2470000000001</v>
      </c>
      <c r="L671" s="52">
        <v>376.08229999999998</v>
      </c>
      <c r="M671" s="52">
        <v>376.08229999999998</v>
      </c>
      <c r="N671" s="5" t="s">
        <v>69</v>
      </c>
    </row>
    <row r="672" spans="1:14" x14ac:dyDescent="0.25">
      <c r="A672" s="50">
        <v>1.4610000000000001</v>
      </c>
      <c r="B672" s="52">
        <v>8292.7898999999998</v>
      </c>
      <c r="C672" s="52">
        <v>0</v>
      </c>
      <c r="D672" s="52">
        <v>1131.8054999999999</v>
      </c>
      <c r="E672" s="52">
        <v>1131.8054999999999</v>
      </c>
      <c r="F672" s="52">
        <v>0</v>
      </c>
      <c r="G672" s="52">
        <v>1509.0740000000001</v>
      </c>
      <c r="H672" s="52">
        <v>754.53700000000003</v>
      </c>
      <c r="I672" s="52">
        <v>1509.0740000000001</v>
      </c>
      <c r="J672" s="52">
        <v>376.08229999999998</v>
      </c>
      <c r="K672" s="52">
        <v>1128.2470000000001</v>
      </c>
      <c r="L672" s="52">
        <v>376.08229999999998</v>
      </c>
      <c r="M672" s="52">
        <v>376.08229999999998</v>
      </c>
      <c r="N672" s="5" t="s">
        <v>69</v>
      </c>
    </row>
    <row r="673" spans="1:14" x14ac:dyDescent="0.25">
      <c r="A673" s="50">
        <v>1.462</v>
      </c>
      <c r="B673" s="52">
        <v>8296.9215000000004</v>
      </c>
      <c r="C673" s="52">
        <v>0</v>
      </c>
      <c r="D673" s="52">
        <v>1132.5802000000001</v>
      </c>
      <c r="E673" s="52">
        <v>1132.5802000000001</v>
      </c>
      <c r="F673" s="52">
        <v>0</v>
      </c>
      <c r="G673" s="52">
        <v>1510.1069</v>
      </c>
      <c r="H673" s="52">
        <v>755.05340000000001</v>
      </c>
      <c r="I673" s="52">
        <v>1510.1069</v>
      </c>
      <c r="J673" s="52">
        <v>376.08229999999998</v>
      </c>
      <c r="K673" s="52">
        <v>1128.2470000000001</v>
      </c>
      <c r="L673" s="52">
        <v>376.08229999999998</v>
      </c>
      <c r="M673" s="52">
        <v>376.08229999999998</v>
      </c>
      <c r="N673" s="5" t="s">
        <v>69</v>
      </c>
    </row>
    <row r="674" spans="1:14" x14ac:dyDescent="0.25">
      <c r="A674" s="50">
        <v>1.4630000000000001</v>
      </c>
      <c r="B674" s="52">
        <v>8301.0530999999992</v>
      </c>
      <c r="C674" s="52">
        <v>0</v>
      </c>
      <c r="D674" s="52">
        <v>1133.3548000000001</v>
      </c>
      <c r="E674" s="52">
        <v>1133.3548000000001</v>
      </c>
      <c r="F674" s="52">
        <v>0</v>
      </c>
      <c r="G674" s="52">
        <v>1511.1397999999999</v>
      </c>
      <c r="H674" s="52">
        <v>755.56989999999996</v>
      </c>
      <c r="I674" s="52">
        <v>1511.1397999999999</v>
      </c>
      <c r="J674" s="52">
        <v>376.08229999999998</v>
      </c>
      <c r="K674" s="52">
        <v>1128.2470000000001</v>
      </c>
      <c r="L674" s="52">
        <v>376.08229999999998</v>
      </c>
      <c r="M674" s="52">
        <v>376.08229999999998</v>
      </c>
      <c r="N674" s="5" t="s">
        <v>69</v>
      </c>
    </row>
    <row r="675" spans="1:14" x14ac:dyDescent="0.25">
      <c r="A675" s="50">
        <v>1.464</v>
      </c>
      <c r="B675" s="52">
        <v>8305.1848000000009</v>
      </c>
      <c r="C675" s="52">
        <v>0</v>
      </c>
      <c r="D675" s="52">
        <v>1134.1295</v>
      </c>
      <c r="E675" s="52">
        <v>1134.1295</v>
      </c>
      <c r="F675" s="52">
        <v>0</v>
      </c>
      <c r="G675" s="52">
        <v>1512.1727000000001</v>
      </c>
      <c r="H675" s="52">
        <v>756.08630000000005</v>
      </c>
      <c r="I675" s="52">
        <v>1512.1727000000001</v>
      </c>
      <c r="J675" s="52">
        <v>376.08229999999998</v>
      </c>
      <c r="K675" s="52">
        <v>1128.2470000000001</v>
      </c>
      <c r="L675" s="52">
        <v>376.08229999999998</v>
      </c>
      <c r="M675" s="52">
        <v>376.08229999999998</v>
      </c>
      <c r="N675" s="5" t="s">
        <v>69</v>
      </c>
    </row>
    <row r="676" spans="1:14" x14ac:dyDescent="0.25">
      <c r="A676" s="50">
        <v>1.4650000000000001</v>
      </c>
      <c r="B676" s="52">
        <v>8309.3163999999997</v>
      </c>
      <c r="C676" s="52">
        <v>0</v>
      </c>
      <c r="D676" s="52">
        <v>1134.9041999999999</v>
      </c>
      <c r="E676" s="52">
        <v>1134.9041999999999</v>
      </c>
      <c r="F676" s="52">
        <v>0</v>
      </c>
      <c r="G676" s="52">
        <v>1513.2056</v>
      </c>
      <c r="H676" s="52">
        <v>756.6028</v>
      </c>
      <c r="I676" s="52">
        <v>1513.2056</v>
      </c>
      <c r="J676" s="52">
        <v>376.08229999999998</v>
      </c>
      <c r="K676" s="52">
        <v>1128.2470000000001</v>
      </c>
      <c r="L676" s="52">
        <v>376.08229999999998</v>
      </c>
      <c r="M676" s="52">
        <v>376.08229999999998</v>
      </c>
      <c r="N676" s="5" t="s">
        <v>69</v>
      </c>
    </row>
    <row r="677" spans="1:14" x14ac:dyDescent="0.25">
      <c r="A677" s="50">
        <v>1.466</v>
      </c>
      <c r="B677" s="52">
        <v>8313.4480000000003</v>
      </c>
      <c r="C677" s="52">
        <v>0</v>
      </c>
      <c r="D677" s="52">
        <v>1135.6789000000001</v>
      </c>
      <c r="E677" s="52">
        <v>1135.6789000000001</v>
      </c>
      <c r="F677" s="52">
        <v>0</v>
      </c>
      <c r="G677" s="52">
        <v>1514.2384999999999</v>
      </c>
      <c r="H677" s="52">
        <v>757.11919999999998</v>
      </c>
      <c r="I677" s="52">
        <v>1514.2384999999999</v>
      </c>
      <c r="J677" s="52">
        <v>376.08229999999998</v>
      </c>
      <c r="K677" s="52">
        <v>1128.2470000000001</v>
      </c>
      <c r="L677" s="52">
        <v>376.08229999999998</v>
      </c>
      <c r="M677" s="52">
        <v>376.08229999999998</v>
      </c>
      <c r="N677" s="5" t="s">
        <v>69</v>
      </c>
    </row>
    <row r="678" spans="1:14" x14ac:dyDescent="0.25">
      <c r="A678" s="50">
        <v>1.4670000000000001</v>
      </c>
      <c r="B678" s="52">
        <v>8317.5795999999991</v>
      </c>
      <c r="C678" s="52">
        <v>0</v>
      </c>
      <c r="D678" s="52">
        <v>1136.4536000000001</v>
      </c>
      <c r="E678" s="52">
        <v>1136.4536000000001</v>
      </c>
      <c r="F678" s="52">
        <v>0</v>
      </c>
      <c r="G678" s="52">
        <v>1515.2714000000001</v>
      </c>
      <c r="H678" s="52">
        <v>757.63570000000004</v>
      </c>
      <c r="I678" s="52">
        <v>1515.2714000000001</v>
      </c>
      <c r="J678" s="52">
        <v>376.08229999999998</v>
      </c>
      <c r="K678" s="52">
        <v>1128.2470000000001</v>
      </c>
      <c r="L678" s="52">
        <v>376.08229999999998</v>
      </c>
      <c r="M678" s="52">
        <v>376.08229999999998</v>
      </c>
      <c r="N678" s="5" t="s">
        <v>69</v>
      </c>
    </row>
    <row r="679" spans="1:14" x14ac:dyDescent="0.25">
      <c r="A679" s="50">
        <v>1.468</v>
      </c>
      <c r="B679" s="52">
        <v>8321.7111999999997</v>
      </c>
      <c r="C679" s="52">
        <v>0</v>
      </c>
      <c r="D679" s="52">
        <v>1137.2282</v>
      </c>
      <c r="E679" s="52">
        <v>1137.2282</v>
      </c>
      <c r="F679" s="52">
        <v>0</v>
      </c>
      <c r="G679" s="52">
        <v>1516.3043</v>
      </c>
      <c r="H679" s="52">
        <v>758.15219999999999</v>
      </c>
      <c r="I679" s="52">
        <v>1516.3043</v>
      </c>
      <c r="J679" s="52">
        <v>376.08229999999998</v>
      </c>
      <c r="K679" s="52">
        <v>1128.2470000000001</v>
      </c>
      <c r="L679" s="52">
        <v>376.08229999999998</v>
      </c>
      <c r="M679" s="52">
        <v>376.08229999999998</v>
      </c>
      <c r="N679" s="5" t="s">
        <v>69</v>
      </c>
    </row>
    <row r="680" spans="1:14" x14ac:dyDescent="0.25">
      <c r="A680" s="50">
        <v>1.4690000000000001</v>
      </c>
      <c r="B680" s="52">
        <v>8325.8428000000004</v>
      </c>
      <c r="C680" s="52">
        <v>0</v>
      </c>
      <c r="D680" s="52">
        <v>1138.0029</v>
      </c>
      <c r="E680" s="52">
        <v>1138.0029</v>
      </c>
      <c r="F680" s="52">
        <v>0</v>
      </c>
      <c r="G680" s="52">
        <v>1517.3371999999999</v>
      </c>
      <c r="H680" s="52">
        <v>758.66859999999997</v>
      </c>
      <c r="I680" s="52">
        <v>1517.3371999999999</v>
      </c>
      <c r="J680" s="52">
        <v>376.08229999999998</v>
      </c>
      <c r="K680" s="52">
        <v>1128.2470000000001</v>
      </c>
      <c r="L680" s="52">
        <v>376.08229999999998</v>
      </c>
      <c r="M680" s="52">
        <v>376.08229999999998</v>
      </c>
      <c r="N680" s="5" t="s">
        <v>69</v>
      </c>
    </row>
    <row r="681" spans="1:14" x14ac:dyDescent="0.25">
      <c r="A681" s="50">
        <v>1.47</v>
      </c>
      <c r="B681" s="52">
        <v>8329.9745000000003</v>
      </c>
      <c r="C681" s="52">
        <v>0</v>
      </c>
      <c r="D681" s="52">
        <v>1138.7775999999999</v>
      </c>
      <c r="E681" s="52">
        <v>1138.7775999999999</v>
      </c>
      <c r="F681" s="52">
        <v>0</v>
      </c>
      <c r="G681" s="52">
        <v>1518.3701000000001</v>
      </c>
      <c r="H681" s="52">
        <v>759.18510000000003</v>
      </c>
      <c r="I681" s="52">
        <v>1518.3701000000001</v>
      </c>
      <c r="J681" s="52">
        <v>376.08229999999998</v>
      </c>
      <c r="K681" s="52">
        <v>1128.2470000000001</v>
      </c>
      <c r="L681" s="52">
        <v>376.08229999999998</v>
      </c>
      <c r="M681" s="52">
        <v>376.08229999999998</v>
      </c>
      <c r="N681" s="5" t="s">
        <v>69</v>
      </c>
    </row>
    <row r="682" spans="1:14" x14ac:dyDescent="0.25">
      <c r="A682" s="50">
        <v>1.4710000000000001</v>
      </c>
      <c r="B682" s="52">
        <v>8334.1061000000009</v>
      </c>
      <c r="C682" s="52">
        <v>0</v>
      </c>
      <c r="D682" s="52">
        <v>1139.5523000000001</v>
      </c>
      <c r="E682" s="52">
        <v>1139.5523000000001</v>
      </c>
      <c r="F682" s="52">
        <v>0</v>
      </c>
      <c r="G682" s="52">
        <v>1519.403</v>
      </c>
      <c r="H682" s="52">
        <v>759.70150000000001</v>
      </c>
      <c r="I682" s="52">
        <v>1519.403</v>
      </c>
      <c r="J682" s="52">
        <v>376.08229999999998</v>
      </c>
      <c r="K682" s="52">
        <v>1128.2470000000001</v>
      </c>
      <c r="L682" s="52">
        <v>376.08229999999998</v>
      </c>
      <c r="M682" s="52">
        <v>376.08229999999998</v>
      </c>
      <c r="N682" s="5" t="s">
        <v>69</v>
      </c>
    </row>
    <row r="683" spans="1:14" x14ac:dyDescent="0.25">
      <c r="A683" s="50">
        <v>1.472</v>
      </c>
      <c r="B683" s="52">
        <v>8338.2376999999997</v>
      </c>
      <c r="C683" s="52">
        <v>0</v>
      </c>
      <c r="D683" s="52">
        <v>1140.3269</v>
      </c>
      <c r="E683" s="52">
        <v>1140.3269</v>
      </c>
      <c r="F683" s="52">
        <v>0</v>
      </c>
      <c r="G683" s="52">
        <v>1520.4358999999999</v>
      </c>
      <c r="H683" s="52">
        <v>760.21799999999996</v>
      </c>
      <c r="I683" s="52">
        <v>1520.4358999999999</v>
      </c>
      <c r="J683" s="52">
        <v>376.08229999999998</v>
      </c>
      <c r="K683" s="52">
        <v>1128.2470000000001</v>
      </c>
      <c r="L683" s="52">
        <v>376.08229999999998</v>
      </c>
      <c r="M683" s="52">
        <v>376.08229999999998</v>
      </c>
      <c r="N683" s="5" t="s">
        <v>69</v>
      </c>
    </row>
    <row r="684" spans="1:14" x14ac:dyDescent="0.25">
      <c r="A684" s="50">
        <v>1.4730000000000001</v>
      </c>
      <c r="B684" s="52">
        <v>8342.3693000000003</v>
      </c>
      <c r="C684" s="52">
        <v>0</v>
      </c>
      <c r="D684" s="52">
        <v>1141.1016</v>
      </c>
      <c r="E684" s="52">
        <v>1141.1016</v>
      </c>
      <c r="F684" s="52">
        <v>0</v>
      </c>
      <c r="G684" s="52">
        <v>1521.4688000000001</v>
      </c>
      <c r="H684" s="52">
        <v>760.73440000000005</v>
      </c>
      <c r="I684" s="52">
        <v>1521.4688000000001</v>
      </c>
      <c r="J684" s="52">
        <v>376.08229999999998</v>
      </c>
      <c r="K684" s="52">
        <v>1128.2470000000001</v>
      </c>
      <c r="L684" s="52">
        <v>376.08229999999998</v>
      </c>
      <c r="M684" s="52">
        <v>376.08229999999998</v>
      </c>
      <c r="N684" s="5" t="s">
        <v>69</v>
      </c>
    </row>
    <row r="685" spans="1:14" x14ac:dyDescent="0.25">
      <c r="A685" s="50">
        <v>1.474</v>
      </c>
      <c r="B685" s="52">
        <v>8346.5008999999991</v>
      </c>
      <c r="C685" s="52">
        <v>0</v>
      </c>
      <c r="D685" s="52">
        <v>1141.8762999999999</v>
      </c>
      <c r="E685" s="52">
        <v>1141.8762999999999</v>
      </c>
      <c r="F685" s="52">
        <v>0</v>
      </c>
      <c r="G685" s="52">
        <v>1522.5017</v>
      </c>
      <c r="H685" s="52">
        <v>761.2509</v>
      </c>
      <c r="I685" s="52">
        <v>1522.5017</v>
      </c>
      <c r="J685" s="52">
        <v>376.08229999999998</v>
      </c>
      <c r="K685" s="52">
        <v>1128.2470000000001</v>
      </c>
      <c r="L685" s="52">
        <v>376.08229999999998</v>
      </c>
      <c r="M685" s="52">
        <v>376.08229999999998</v>
      </c>
      <c r="N685" s="5" t="s">
        <v>69</v>
      </c>
    </row>
    <row r="686" spans="1:14" x14ac:dyDescent="0.25">
      <c r="A686" s="50">
        <v>1.4750000000000001</v>
      </c>
      <c r="B686" s="52">
        <v>8350.6326000000008</v>
      </c>
      <c r="C686" s="52">
        <v>0</v>
      </c>
      <c r="D686" s="52">
        <v>1142.6510000000001</v>
      </c>
      <c r="E686" s="52">
        <v>1142.6510000000001</v>
      </c>
      <c r="F686" s="52">
        <v>0</v>
      </c>
      <c r="G686" s="52">
        <v>1523.5346</v>
      </c>
      <c r="H686" s="52">
        <v>761.76729999999998</v>
      </c>
      <c r="I686" s="52">
        <v>1523.5346</v>
      </c>
      <c r="J686" s="52">
        <v>376.08229999999998</v>
      </c>
      <c r="K686" s="52">
        <v>1128.2470000000001</v>
      </c>
      <c r="L686" s="52">
        <v>376.08229999999998</v>
      </c>
      <c r="M686" s="52">
        <v>376.08229999999998</v>
      </c>
      <c r="N686" s="5" t="s">
        <v>69</v>
      </c>
    </row>
    <row r="687" spans="1:14" x14ac:dyDescent="0.25">
      <c r="A687" s="50">
        <v>1.476</v>
      </c>
      <c r="B687" s="52">
        <v>8354.7641999999996</v>
      </c>
      <c r="C687" s="52">
        <v>0</v>
      </c>
      <c r="D687" s="52">
        <v>1143.4257</v>
      </c>
      <c r="E687" s="52">
        <v>1143.4257</v>
      </c>
      <c r="F687" s="52">
        <v>0</v>
      </c>
      <c r="G687" s="52">
        <v>1524.5675000000001</v>
      </c>
      <c r="H687" s="52">
        <v>762.28380000000004</v>
      </c>
      <c r="I687" s="52">
        <v>1524.5675000000001</v>
      </c>
      <c r="J687" s="52">
        <v>376.08229999999998</v>
      </c>
      <c r="K687" s="52">
        <v>1128.2470000000001</v>
      </c>
      <c r="L687" s="52">
        <v>376.08229999999998</v>
      </c>
      <c r="M687" s="52">
        <v>376.08229999999998</v>
      </c>
      <c r="N687" s="5" t="s">
        <v>69</v>
      </c>
    </row>
    <row r="688" spans="1:14" x14ac:dyDescent="0.25">
      <c r="A688" s="50">
        <v>1.4770000000000001</v>
      </c>
      <c r="B688" s="52">
        <v>8358.8958000000002</v>
      </c>
      <c r="C688" s="52">
        <v>0</v>
      </c>
      <c r="D688" s="52">
        <v>1144.2003</v>
      </c>
      <c r="E688" s="52">
        <v>1144.2003</v>
      </c>
      <c r="F688" s="52">
        <v>0</v>
      </c>
      <c r="G688" s="52">
        <v>1525.6005</v>
      </c>
      <c r="H688" s="52">
        <v>762.80020000000002</v>
      </c>
      <c r="I688" s="52">
        <v>1525.6005</v>
      </c>
      <c r="J688" s="52">
        <v>376.08229999999998</v>
      </c>
      <c r="K688" s="52">
        <v>1128.2470000000001</v>
      </c>
      <c r="L688" s="52">
        <v>376.08229999999998</v>
      </c>
      <c r="M688" s="52">
        <v>376.08229999999998</v>
      </c>
      <c r="N688" s="5" t="s">
        <v>69</v>
      </c>
    </row>
    <row r="689" spans="1:14" x14ac:dyDescent="0.25">
      <c r="A689" s="50">
        <v>1.478</v>
      </c>
      <c r="B689" s="52">
        <v>8363.0274000000009</v>
      </c>
      <c r="C689" s="52">
        <v>0</v>
      </c>
      <c r="D689" s="52">
        <v>1144.9749999999999</v>
      </c>
      <c r="E689" s="52">
        <v>1144.9749999999999</v>
      </c>
      <c r="F689" s="52">
        <v>0</v>
      </c>
      <c r="G689" s="52">
        <v>1526.6333999999999</v>
      </c>
      <c r="H689" s="52">
        <v>763.31669999999997</v>
      </c>
      <c r="I689" s="52">
        <v>1526.6333999999999</v>
      </c>
      <c r="J689" s="52">
        <v>376.08229999999998</v>
      </c>
      <c r="K689" s="52">
        <v>1128.2470000000001</v>
      </c>
      <c r="L689" s="52">
        <v>376.08229999999998</v>
      </c>
      <c r="M689" s="52">
        <v>376.08229999999998</v>
      </c>
      <c r="N689" s="5" t="s">
        <v>69</v>
      </c>
    </row>
    <row r="690" spans="1:14" x14ac:dyDescent="0.25">
      <c r="A690" s="50">
        <v>1.4790000000000001</v>
      </c>
      <c r="B690" s="52">
        <v>8367.1589999999997</v>
      </c>
      <c r="C690" s="52">
        <v>0</v>
      </c>
      <c r="D690" s="52">
        <v>1145.7497000000001</v>
      </c>
      <c r="E690" s="52">
        <v>1145.7497000000001</v>
      </c>
      <c r="F690" s="52">
        <v>0</v>
      </c>
      <c r="G690" s="52">
        <v>1527.6663000000001</v>
      </c>
      <c r="H690" s="52">
        <v>763.83309999999994</v>
      </c>
      <c r="I690" s="52">
        <v>1527.6663000000001</v>
      </c>
      <c r="J690" s="52">
        <v>376.08229999999998</v>
      </c>
      <c r="K690" s="52">
        <v>1128.2470000000001</v>
      </c>
      <c r="L690" s="52">
        <v>376.08229999999998</v>
      </c>
      <c r="M690" s="52">
        <v>376.08229999999998</v>
      </c>
      <c r="N690" s="5" t="s">
        <v>69</v>
      </c>
    </row>
    <row r="691" spans="1:14" x14ac:dyDescent="0.25">
      <c r="A691" s="50">
        <v>1.48</v>
      </c>
      <c r="B691" s="52">
        <v>8371.2906999999996</v>
      </c>
      <c r="C691" s="52">
        <v>0</v>
      </c>
      <c r="D691" s="52">
        <v>1146.5244</v>
      </c>
      <c r="E691" s="52">
        <v>1146.5244</v>
      </c>
      <c r="F691" s="52">
        <v>0</v>
      </c>
      <c r="G691" s="52">
        <v>1528.6992</v>
      </c>
      <c r="H691" s="52">
        <v>764.34960000000001</v>
      </c>
      <c r="I691" s="52">
        <v>1528.6992</v>
      </c>
      <c r="J691" s="52">
        <v>376.08229999999998</v>
      </c>
      <c r="K691" s="52">
        <v>1128.2470000000001</v>
      </c>
      <c r="L691" s="52">
        <v>376.08229999999998</v>
      </c>
      <c r="M691" s="52">
        <v>376.08229999999998</v>
      </c>
      <c r="N691" s="5" t="s">
        <v>69</v>
      </c>
    </row>
    <row r="692" spans="1:14" x14ac:dyDescent="0.25">
      <c r="A692" s="50">
        <v>1.4810000000000001</v>
      </c>
      <c r="B692" s="52">
        <v>8375.4223000000002</v>
      </c>
      <c r="C692" s="52">
        <v>0</v>
      </c>
      <c r="D692" s="52">
        <v>1147.2991</v>
      </c>
      <c r="E692" s="52">
        <v>1147.2991</v>
      </c>
      <c r="F692" s="52">
        <v>0</v>
      </c>
      <c r="G692" s="52">
        <v>1529.7320999999999</v>
      </c>
      <c r="H692" s="52">
        <v>764.86599999999999</v>
      </c>
      <c r="I692" s="52">
        <v>1529.7320999999999</v>
      </c>
      <c r="J692" s="52">
        <v>376.08229999999998</v>
      </c>
      <c r="K692" s="52">
        <v>1128.2470000000001</v>
      </c>
      <c r="L692" s="52">
        <v>376.08229999999998</v>
      </c>
      <c r="M692" s="52">
        <v>376.08229999999998</v>
      </c>
      <c r="N692" s="5" t="s">
        <v>69</v>
      </c>
    </row>
    <row r="693" spans="1:14" x14ac:dyDescent="0.25">
      <c r="A693" s="50">
        <v>1.482</v>
      </c>
      <c r="B693" s="52">
        <v>8379.5539000000008</v>
      </c>
      <c r="C693" s="52">
        <v>0</v>
      </c>
      <c r="D693" s="52">
        <v>1148.0736999999999</v>
      </c>
      <c r="E693" s="52">
        <v>1148.0736999999999</v>
      </c>
      <c r="F693" s="52">
        <v>0</v>
      </c>
      <c r="G693" s="52">
        <v>1530.7650000000001</v>
      </c>
      <c r="H693" s="52">
        <v>765.38250000000005</v>
      </c>
      <c r="I693" s="52">
        <v>1530.7650000000001</v>
      </c>
      <c r="J693" s="52">
        <v>376.08229999999998</v>
      </c>
      <c r="K693" s="52">
        <v>1128.2470000000001</v>
      </c>
      <c r="L693" s="52">
        <v>376.08229999999998</v>
      </c>
      <c r="M693" s="52">
        <v>376.08229999999998</v>
      </c>
      <c r="N693" s="5" t="s">
        <v>69</v>
      </c>
    </row>
    <row r="694" spans="1:14" x14ac:dyDescent="0.25">
      <c r="A694" s="50">
        <v>1.4830000000000001</v>
      </c>
      <c r="B694" s="52">
        <v>8383.6854999999996</v>
      </c>
      <c r="C694" s="52">
        <v>0</v>
      </c>
      <c r="D694" s="52">
        <v>1148.8484000000001</v>
      </c>
      <c r="E694" s="52">
        <v>1148.8484000000001</v>
      </c>
      <c r="F694" s="52">
        <v>0</v>
      </c>
      <c r="G694" s="52">
        <v>1531.7979</v>
      </c>
      <c r="H694" s="52">
        <v>765.89890000000003</v>
      </c>
      <c r="I694" s="52">
        <v>1531.7979</v>
      </c>
      <c r="J694" s="52">
        <v>376.08229999999998</v>
      </c>
      <c r="K694" s="52">
        <v>1128.2470000000001</v>
      </c>
      <c r="L694" s="52">
        <v>376.08229999999998</v>
      </c>
      <c r="M694" s="52">
        <v>376.08229999999998</v>
      </c>
      <c r="N694" s="5" t="s">
        <v>69</v>
      </c>
    </row>
    <row r="695" spans="1:14" x14ac:dyDescent="0.25">
      <c r="A695" s="50">
        <v>1.484</v>
      </c>
      <c r="B695" s="52">
        <v>8387.8171000000002</v>
      </c>
      <c r="C695" s="52">
        <v>0</v>
      </c>
      <c r="D695" s="52">
        <v>1149.6231</v>
      </c>
      <c r="E695" s="52">
        <v>1149.6231</v>
      </c>
      <c r="F695" s="52">
        <v>0</v>
      </c>
      <c r="G695" s="52">
        <v>1532.8308</v>
      </c>
      <c r="H695" s="52">
        <v>766.41539999999998</v>
      </c>
      <c r="I695" s="52">
        <v>1532.8308</v>
      </c>
      <c r="J695" s="52">
        <v>376.08229999999998</v>
      </c>
      <c r="K695" s="52">
        <v>1128.2470000000001</v>
      </c>
      <c r="L695" s="52">
        <v>376.08229999999998</v>
      </c>
      <c r="M695" s="52">
        <v>376.08229999999998</v>
      </c>
      <c r="N695" s="5" t="s">
        <v>69</v>
      </c>
    </row>
    <row r="696" spans="1:14" x14ac:dyDescent="0.25">
      <c r="A696" s="50">
        <v>1.4850000000000001</v>
      </c>
      <c r="B696" s="52">
        <v>8391.9488000000001</v>
      </c>
      <c r="C696" s="52">
        <v>0</v>
      </c>
      <c r="D696" s="52">
        <v>1150.3978</v>
      </c>
      <c r="E696" s="52">
        <v>1150.3978</v>
      </c>
      <c r="F696" s="52">
        <v>0</v>
      </c>
      <c r="G696" s="52">
        <v>1533.8637000000001</v>
      </c>
      <c r="H696" s="52">
        <v>766.93179999999995</v>
      </c>
      <c r="I696" s="52">
        <v>1533.8637000000001</v>
      </c>
      <c r="J696" s="52">
        <v>376.08229999999998</v>
      </c>
      <c r="K696" s="52">
        <v>1128.2470000000001</v>
      </c>
      <c r="L696" s="52">
        <v>376.08229999999998</v>
      </c>
      <c r="M696" s="52">
        <v>376.08229999999998</v>
      </c>
      <c r="N696" s="5" t="s">
        <v>69</v>
      </c>
    </row>
    <row r="697" spans="1:14" x14ac:dyDescent="0.25">
      <c r="A697" s="50">
        <v>1.486</v>
      </c>
      <c r="B697" s="52">
        <v>8396.0804000000007</v>
      </c>
      <c r="C697" s="52">
        <v>0</v>
      </c>
      <c r="D697" s="52">
        <v>1151.1723999999999</v>
      </c>
      <c r="E697" s="52">
        <v>1151.1723999999999</v>
      </c>
      <c r="F697" s="52">
        <v>0</v>
      </c>
      <c r="G697" s="52">
        <v>1534.8966</v>
      </c>
      <c r="H697" s="52">
        <v>767.44830000000002</v>
      </c>
      <c r="I697" s="52">
        <v>1534.8966</v>
      </c>
      <c r="J697" s="52">
        <v>376.08229999999998</v>
      </c>
      <c r="K697" s="52">
        <v>1128.2470000000001</v>
      </c>
      <c r="L697" s="52">
        <v>376.08229999999998</v>
      </c>
      <c r="M697" s="52">
        <v>376.08229999999998</v>
      </c>
      <c r="N697" s="5" t="s">
        <v>69</v>
      </c>
    </row>
    <row r="698" spans="1:14" x14ac:dyDescent="0.25">
      <c r="A698" s="50">
        <v>1.4870000000000001</v>
      </c>
      <c r="B698" s="52">
        <v>8400.2119999999995</v>
      </c>
      <c r="C698" s="52">
        <v>0</v>
      </c>
      <c r="D698" s="52">
        <v>1151.9471000000001</v>
      </c>
      <c r="E698" s="52">
        <v>1151.9471000000001</v>
      </c>
      <c r="F698" s="52">
        <v>0</v>
      </c>
      <c r="G698" s="52">
        <v>1535.9295</v>
      </c>
      <c r="H698" s="52">
        <v>767.96479999999997</v>
      </c>
      <c r="I698" s="52">
        <v>1535.9295</v>
      </c>
      <c r="J698" s="52">
        <v>376.08229999999998</v>
      </c>
      <c r="K698" s="52">
        <v>1128.2470000000001</v>
      </c>
      <c r="L698" s="52">
        <v>376.08229999999998</v>
      </c>
      <c r="M698" s="52">
        <v>376.08229999999998</v>
      </c>
      <c r="N698" s="5" t="s">
        <v>69</v>
      </c>
    </row>
    <row r="699" spans="1:14" x14ac:dyDescent="0.25">
      <c r="A699" s="50">
        <v>1.488</v>
      </c>
      <c r="B699" s="52">
        <v>8404.3436000000002</v>
      </c>
      <c r="C699" s="52">
        <v>0</v>
      </c>
      <c r="D699" s="52">
        <v>1152.7218</v>
      </c>
      <c r="E699" s="52">
        <v>1152.7218</v>
      </c>
      <c r="F699" s="52">
        <v>0</v>
      </c>
      <c r="G699" s="52">
        <v>1536.9623999999999</v>
      </c>
      <c r="H699" s="52">
        <v>768.48119999999994</v>
      </c>
      <c r="I699" s="52">
        <v>1536.9623999999999</v>
      </c>
      <c r="J699" s="52">
        <v>376.08229999999998</v>
      </c>
      <c r="K699" s="52">
        <v>1128.2470000000001</v>
      </c>
      <c r="L699" s="52">
        <v>376.08229999999998</v>
      </c>
      <c r="M699" s="52">
        <v>376.08229999999998</v>
      </c>
      <c r="N699" s="5" t="s">
        <v>69</v>
      </c>
    </row>
    <row r="700" spans="1:14" x14ac:dyDescent="0.25">
      <c r="A700" s="50">
        <v>1.4890000000000001</v>
      </c>
      <c r="B700" s="52">
        <v>8408.4752000000008</v>
      </c>
      <c r="C700" s="52">
        <v>0</v>
      </c>
      <c r="D700" s="52">
        <v>1153.4965</v>
      </c>
      <c r="E700" s="52">
        <v>1153.4965</v>
      </c>
      <c r="F700" s="52">
        <v>0</v>
      </c>
      <c r="G700" s="52">
        <v>1537.9953</v>
      </c>
      <c r="H700" s="52">
        <v>768.99770000000001</v>
      </c>
      <c r="I700" s="52">
        <v>1537.9953</v>
      </c>
      <c r="J700" s="52">
        <v>376.08229999999998</v>
      </c>
      <c r="K700" s="52">
        <v>1128.2470000000001</v>
      </c>
      <c r="L700" s="52">
        <v>376.08229999999998</v>
      </c>
      <c r="M700" s="52">
        <v>376.08229999999998</v>
      </c>
      <c r="N700" s="5" t="s">
        <v>69</v>
      </c>
    </row>
    <row r="701" spans="1:14" x14ac:dyDescent="0.25">
      <c r="A701" s="50">
        <v>1.49</v>
      </c>
      <c r="B701" s="52">
        <v>8412.6069000000007</v>
      </c>
      <c r="C701" s="52">
        <v>0</v>
      </c>
      <c r="D701" s="52">
        <v>1154.2711999999999</v>
      </c>
      <c r="E701" s="52">
        <v>1154.2711999999999</v>
      </c>
      <c r="F701" s="52">
        <v>0</v>
      </c>
      <c r="G701" s="52">
        <v>1539.0282</v>
      </c>
      <c r="H701" s="52">
        <v>769.51409999999998</v>
      </c>
      <c r="I701" s="52">
        <v>1539.0282</v>
      </c>
      <c r="J701" s="52">
        <v>376.08229999999998</v>
      </c>
      <c r="K701" s="52">
        <v>1128.2470000000001</v>
      </c>
      <c r="L701" s="52">
        <v>376.08229999999998</v>
      </c>
      <c r="M701" s="52">
        <v>376.08229999999998</v>
      </c>
      <c r="N701" s="5" t="s">
        <v>69</v>
      </c>
    </row>
    <row r="702" spans="1:14" x14ac:dyDescent="0.25">
      <c r="A702" s="50">
        <v>1.4910000000000001</v>
      </c>
      <c r="B702" s="52">
        <v>8416.7384999999995</v>
      </c>
      <c r="C702" s="52">
        <v>0</v>
      </c>
      <c r="D702" s="52">
        <v>1155.0458000000001</v>
      </c>
      <c r="E702" s="52">
        <v>1155.0458000000001</v>
      </c>
      <c r="F702" s="52">
        <v>0</v>
      </c>
      <c r="G702" s="52">
        <v>1540.0610999999999</v>
      </c>
      <c r="H702" s="52">
        <v>770.03060000000005</v>
      </c>
      <c r="I702" s="52">
        <v>1540.0610999999999</v>
      </c>
      <c r="J702" s="52">
        <v>376.08229999999998</v>
      </c>
      <c r="K702" s="52">
        <v>1128.2470000000001</v>
      </c>
      <c r="L702" s="52">
        <v>376.08229999999998</v>
      </c>
      <c r="M702" s="52">
        <v>376.08229999999998</v>
      </c>
      <c r="N702" s="5" t="s">
        <v>69</v>
      </c>
    </row>
    <row r="703" spans="1:14" x14ac:dyDescent="0.25">
      <c r="A703" s="50">
        <v>1.492</v>
      </c>
      <c r="B703" s="52">
        <v>8420.8701000000001</v>
      </c>
      <c r="C703" s="52">
        <v>0</v>
      </c>
      <c r="D703" s="52">
        <v>1155.8205</v>
      </c>
      <c r="E703" s="52">
        <v>1155.8205</v>
      </c>
      <c r="F703" s="52">
        <v>0</v>
      </c>
      <c r="G703" s="52">
        <v>1541.0940000000001</v>
      </c>
      <c r="H703" s="52">
        <v>770.54700000000003</v>
      </c>
      <c r="I703" s="52">
        <v>1541.0940000000001</v>
      </c>
      <c r="J703" s="52">
        <v>376.08229999999998</v>
      </c>
      <c r="K703" s="52">
        <v>1128.2470000000001</v>
      </c>
      <c r="L703" s="52">
        <v>376.08229999999998</v>
      </c>
      <c r="M703" s="52">
        <v>376.08229999999998</v>
      </c>
      <c r="N703" s="5" t="s">
        <v>69</v>
      </c>
    </row>
    <row r="704" spans="1:14" x14ac:dyDescent="0.25">
      <c r="A704" s="50">
        <v>1.4930000000000001</v>
      </c>
      <c r="B704" s="52">
        <v>8425.0017000000007</v>
      </c>
      <c r="C704" s="52">
        <v>0</v>
      </c>
      <c r="D704" s="52">
        <v>1156.5952</v>
      </c>
      <c r="E704" s="52">
        <v>1156.5952</v>
      </c>
      <c r="F704" s="52">
        <v>0</v>
      </c>
      <c r="G704" s="52">
        <v>1542.1269</v>
      </c>
      <c r="H704" s="52">
        <v>771.06349999999998</v>
      </c>
      <c r="I704" s="52">
        <v>1542.1269</v>
      </c>
      <c r="J704" s="52">
        <v>376.08229999999998</v>
      </c>
      <c r="K704" s="52">
        <v>1128.2470000000001</v>
      </c>
      <c r="L704" s="52">
        <v>376.08229999999998</v>
      </c>
      <c r="M704" s="52">
        <v>376.08229999999998</v>
      </c>
      <c r="N704" s="5" t="s">
        <v>69</v>
      </c>
    </row>
    <row r="705" spans="1:14" x14ac:dyDescent="0.25">
      <c r="A705" s="50">
        <v>1.494</v>
      </c>
      <c r="B705" s="52">
        <v>8429.1332999999995</v>
      </c>
      <c r="C705" s="52">
        <v>0</v>
      </c>
      <c r="D705" s="52">
        <v>1157.3698999999999</v>
      </c>
      <c r="E705" s="52">
        <v>1157.3698999999999</v>
      </c>
      <c r="F705" s="52">
        <v>0</v>
      </c>
      <c r="G705" s="52">
        <v>1543.1597999999999</v>
      </c>
      <c r="H705" s="52">
        <v>771.57989999999995</v>
      </c>
      <c r="I705" s="52">
        <v>1543.1597999999999</v>
      </c>
      <c r="J705" s="52">
        <v>376.08229999999998</v>
      </c>
      <c r="K705" s="52">
        <v>1128.2470000000001</v>
      </c>
      <c r="L705" s="52">
        <v>376.08229999999998</v>
      </c>
      <c r="M705" s="52">
        <v>376.08229999999998</v>
      </c>
      <c r="N705" s="5" t="s">
        <v>69</v>
      </c>
    </row>
    <row r="706" spans="1:14" x14ac:dyDescent="0.25">
      <c r="A706" s="50">
        <v>1.4950000000000001</v>
      </c>
      <c r="B706" s="52">
        <v>8433.2649999999994</v>
      </c>
      <c r="C706" s="52">
        <v>0</v>
      </c>
      <c r="D706" s="52">
        <v>1158.1446000000001</v>
      </c>
      <c r="E706" s="52">
        <v>1158.1446000000001</v>
      </c>
      <c r="F706" s="52">
        <v>0</v>
      </c>
      <c r="G706" s="52">
        <v>1544.1927000000001</v>
      </c>
      <c r="H706" s="52">
        <v>772.09640000000002</v>
      </c>
      <c r="I706" s="52">
        <v>1544.1927000000001</v>
      </c>
      <c r="J706" s="52">
        <v>376.08229999999998</v>
      </c>
      <c r="K706" s="52">
        <v>1128.2470000000001</v>
      </c>
      <c r="L706" s="52">
        <v>376.08229999999998</v>
      </c>
      <c r="M706" s="52">
        <v>376.08229999999998</v>
      </c>
      <c r="N706" s="5" t="s">
        <v>69</v>
      </c>
    </row>
    <row r="707" spans="1:14" x14ac:dyDescent="0.25">
      <c r="A707" s="50">
        <v>1.496</v>
      </c>
      <c r="B707" s="52">
        <v>8437.3966</v>
      </c>
      <c r="C707" s="52">
        <v>0</v>
      </c>
      <c r="D707" s="52">
        <v>1158.9192</v>
      </c>
      <c r="E707" s="52">
        <v>1158.9192</v>
      </c>
      <c r="F707" s="52">
        <v>0</v>
      </c>
      <c r="G707" s="52">
        <v>1545.2256</v>
      </c>
      <c r="H707" s="52">
        <v>772.61279999999999</v>
      </c>
      <c r="I707" s="52">
        <v>1545.2256</v>
      </c>
      <c r="J707" s="52">
        <v>376.08229999999998</v>
      </c>
      <c r="K707" s="52">
        <v>1128.2470000000001</v>
      </c>
      <c r="L707" s="52">
        <v>376.08229999999998</v>
      </c>
      <c r="M707" s="52">
        <v>376.08229999999998</v>
      </c>
      <c r="N707" s="5" t="s">
        <v>69</v>
      </c>
    </row>
    <row r="708" spans="1:14" x14ac:dyDescent="0.25">
      <c r="A708" s="50">
        <v>1.4970000000000001</v>
      </c>
      <c r="B708" s="52">
        <v>8441.5282000000007</v>
      </c>
      <c r="C708" s="52">
        <v>0</v>
      </c>
      <c r="D708" s="52">
        <v>1159.6939</v>
      </c>
      <c r="E708" s="52">
        <v>1159.6939</v>
      </c>
      <c r="F708" s="52">
        <v>0</v>
      </c>
      <c r="G708" s="52">
        <v>1546.2584999999999</v>
      </c>
      <c r="H708" s="52">
        <v>773.12929999999994</v>
      </c>
      <c r="I708" s="52">
        <v>1546.2584999999999</v>
      </c>
      <c r="J708" s="52">
        <v>376.08229999999998</v>
      </c>
      <c r="K708" s="52">
        <v>1128.2470000000001</v>
      </c>
      <c r="L708" s="52">
        <v>376.08229999999998</v>
      </c>
      <c r="M708" s="52">
        <v>376.08229999999998</v>
      </c>
      <c r="N708" s="5" t="s">
        <v>69</v>
      </c>
    </row>
    <row r="709" spans="1:14" x14ac:dyDescent="0.25">
      <c r="A709" s="50">
        <v>1.498</v>
      </c>
      <c r="B709" s="52">
        <v>8445.6597999999994</v>
      </c>
      <c r="C709" s="52">
        <v>0</v>
      </c>
      <c r="D709" s="52">
        <v>1160.4685999999999</v>
      </c>
      <c r="E709" s="52">
        <v>1160.4685999999999</v>
      </c>
      <c r="F709" s="52">
        <v>0</v>
      </c>
      <c r="G709" s="52">
        <v>1547.2915</v>
      </c>
      <c r="H709" s="52">
        <v>773.64570000000003</v>
      </c>
      <c r="I709" s="52">
        <v>1547.2915</v>
      </c>
      <c r="J709" s="52">
        <v>376.08229999999998</v>
      </c>
      <c r="K709" s="52">
        <v>1128.2470000000001</v>
      </c>
      <c r="L709" s="52">
        <v>376.08229999999998</v>
      </c>
      <c r="M709" s="52">
        <v>376.08229999999998</v>
      </c>
      <c r="N709" s="5" t="s">
        <v>69</v>
      </c>
    </row>
    <row r="710" spans="1:14" x14ac:dyDescent="0.25">
      <c r="A710" s="50">
        <v>1.4990000000000001</v>
      </c>
      <c r="B710" s="52">
        <v>8449.7914000000001</v>
      </c>
      <c r="C710" s="52">
        <v>0</v>
      </c>
      <c r="D710" s="52">
        <v>1161.2433000000001</v>
      </c>
      <c r="E710" s="52">
        <v>1161.2433000000001</v>
      </c>
      <c r="F710" s="52">
        <v>0</v>
      </c>
      <c r="G710" s="52">
        <v>1548.3244</v>
      </c>
      <c r="H710" s="52">
        <v>774.16219999999998</v>
      </c>
      <c r="I710" s="52">
        <v>1548.3244</v>
      </c>
      <c r="J710" s="52">
        <v>376.08229999999998</v>
      </c>
      <c r="K710" s="52">
        <v>1128.2470000000001</v>
      </c>
      <c r="L710" s="52">
        <v>376.08229999999998</v>
      </c>
      <c r="M710" s="52">
        <v>376.08229999999998</v>
      </c>
      <c r="N710" s="5" t="s">
        <v>69</v>
      </c>
    </row>
    <row r="711" spans="1:14" x14ac:dyDescent="0.25">
      <c r="A711" s="50">
        <v>1.5</v>
      </c>
      <c r="B711" s="52">
        <v>8492.9006000000008</v>
      </c>
      <c r="C711" s="52">
        <v>0</v>
      </c>
      <c r="D711" s="52">
        <v>1169.3262</v>
      </c>
      <c r="E711" s="52">
        <v>1169.3262</v>
      </c>
      <c r="F711" s="52">
        <v>0</v>
      </c>
      <c r="G711" s="52">
        <v>1559.1016</v>
      </c>
      <c r="H711" s="52">
        <v>779.55079999999998</v>
      </c>
      <c r="I711" s="52">
        <v>1559.1016</v>
      </c>
      <c r="J711" s="52">
        <v>376.08229999999998</v>
      </c>
      <c r="K711" s="52">
        <v>1128.2470000000001</v>
      </c>
      <c r="L711" s="52">
        <v>376.08229999999998</v>
      </c>
      <c r="M711" s="52">
        <v>376.08229999999998</v>
      </c>
      <c r="N711" s="5" t="s">
        <v>69</v>
      </c>
    </row>
  </sheetData>
  <conditionalFormatting sqref="N6:N711">
    <cfRule type="cellIs" dxfId="35" priority="1" operator="equal">
      <formula>"OK"</formula>
    </cfRule>
    <cfRule type="cellIs" dxfId="34" priority="2" operator="equal">
      <formula>"Erro"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FED6E-768A-4664-994C-86C6EFC1A738}">
  <sheetPr codeName="Planilha21"/>
  <dimension ref="A1:N711"/>
  <sheetViews>
    <sheetView showGridLines="0" tabSelected="1" workbookViewId="0">
      <pane xSplit="1" ySplit="5" topLeftCell="B6" activePane="bottomRight" state="frozen"/>
      <selection pane="topRight" activeCell="B1" sqref="B1"/>
      <selection pane="bottomLeft" activeCell="A6" sqref="A6"/>
      <selection pane="bottomRight" sqref="A1:A1048576"/>
    </sheetView>
  </sheetViews>
  <sheetFormatPr defaultRowHeight="15" x14ac:dyDescent="0.25"/>
  <cols>
    <col min="1" max="13" width="11.140625" style="1" bestFit="1" customWidth="1"/>
    <col min="14" max="14" width="11" style="1" bestFit="1" customWidth="1"/>
    <col min="15" max="16384" width="9.140625" style="1"/>
  </cols>
  <sheetData>
    <row r="1" spans="1:14" ht="15.75" x14ac:dyDescent="0.25">
      <c r="A1" s="88" t="s">
        <v>294</v>
      </c>
    </row>
    <row r="2" spans="1:14" x14ac:dyDescent="0.25">
      <c r="A2" s="78" t="str" cm="1">
        <f t="array" ref="A2" xml:space="preserve"> "Tabela de valores base e pesos para ano fiscal CSL Behring " &amp; Datas[AnoMes-Fiscal]</f>
        <v>Tabela de valores base e pesos para ano fiscal CSL Behring 2020/2021 (01-Jul)</v>
      </c>
    </row>
    <row r="4" spans="1:14" x14ac:dyDescent="0.25">
      <c r="A4" s="86" t="s">
        <v>291</v>
      </c>
      <c r="B4" s="87">
        <f>VLOOKUP(1,Valores_Representantes_EMH[],2,0)</f>
        <v>3760.8233</v>
      </c>
      <c r="C4" s="87">
        <f>VLOOKUP(1,Valores_Representantes_EMH[],3,0)</f>
        <v>188.0412</v>
      </c>
      <c r="D4" s="87">
        <f>VLOOKUP(1,Valores_Representantes_EMH[],4,0)</f>
        <v>94.020600000000002</v>
      </c>
      <c r="E4" s="87">
        <f>VLOOKUP(1,Valores_Representantes_EMH[],5,0)</f>
        <v>94.020600000000002</v>
      </c>
      <c r="F4" s="87">
        <f>VLOOKUP(1,Valores_Representantes_EMH[],6,0)</f>
        <v>376.08229999999998</v>
      </c>
      <c r="G4" s="87">
        <f>VLOOKUP(1,Valores_Representantes_EMH[],7,0)</f>
        <v>188.0412</v>
      </c>
      <c r="H4" s="87">
        <f>VLOOKUP(1,Valores_Representantes_EMH[],8,0)</f>
        <v>188.0412</v>
      </c>
      <c r="I4" s="87">
        <f>VLOOKUP(1,Valores_Representantes_EMH[],9,0)</f>
        <v>376.08229999999998</v>
      </c>
      <c r="J4" s="87">
        <f>VLOOKUP(1,Valores_Representantes_EMH[],10,0)</f>
        <v>376.08229999999998</v>
      </c>
      <c r="K4" s="87">
        <f>VLOOKUP(1,Valores_Representantes_EMH[],11,0)</f>
        <v>1128.2470000000001</v>
      </c>
      <c r="L4" s="87">
        <f>VLOOKUP(1,Valores_Representantes_EMH[],12,0)</f>
        <v>376.08229999999998</v>
      </c>
      <c r="M4" s="87">
        <f>VLOOKUP(1,Valores_Representantes_EMH[],13,0)</f>
        <v>376.08229999999998</v>
      </c>
    </row>
    <row r="5" spans="1:14" x14ac:dyDescent="0.25">
      <c r="A5" s="2" t="s">
        <v>55</v>
      </c>
      <c r="B5" s="2" t="s">
        <v>56</v>
      </c>
      <c r="C5" s="2" t="s">
        <v>57</v>
      </c>
      <c r="D5" s="2" t="s">
        <v>58</v>
      </c>
      <c r="E5" s="2" t="s">
        <v>59</v>
      </c>
      <c r="F5" s="2" t="s">
        <v>60</v>
      </c>
      <c r="G5" s="2" t="s">
        <v>61</v>
      </c>
      <c r="H5" s="2" t="s">
        <v>62</v>
      </c>
      <c r="I5" s="2" t="s">
        <v>63</v>
      </c>
      <c r="J5" s="2" t="s">
        <v>64</v>
      </c>
      <c r="K5" s="2" t="s">
        <v>65</v>
      </c>
      <c r="L5" s="2" t="s">
        <v>66</v>
      </c>
      <c r="M5" s="2" t="s">
        <v>67</v>
      </c>
      <c r="N5" s="2" t="s">
        <v>68</v>
      </c>
    </row>
    <row r="6" spans="1:14" x14ac:dyDescent="0.25">
      <c r="A6" s="51">
        <v>0.79500000000000004</v>
      </c>
      <c r="B6" s="52">
        <v>1504.3293000000001</v>
      </c>
      <c r="C6" s="52">
        <v>75.216499999999996</v>
      </c>
      <c r="D6" s="52">
        <v>37.608199999999997</v>
      </c>
      <c r="E6" s="52">
        <v>37.608199999999997</v>
      </c>
      <c r="F6" s="52">
        <v>150.43289999999999</v>
      </c>
      <c r="G6" s="52">
        <v>75.216499999999996</v>
      </c>
      <c r="H6" s="52">
        <v>75.216499999999996</v>
      </c>
      <c r="I6" s="52">
        <v>150.43289999999999</v>
      </c>
      <c r="J6" s="52">
        <v>150.43289999999999</v>
      </c>
      <c r="K6" s="52">
        <v>451.29880000000003</v>
      </c>
      <c r="L6" s="52">
        <v>150.43289999999999</v>
      </c>
      <c r="M6" s="52">
        <v>150.43289999999999</v>
      </c>
      <c r="N6" s="5" t="s">
        <v>69</v>
      </c>
    </row>
    <row r="7" spans="1:14" x14ac:dyDescent="0.25">
      <c r="A7" s="51">
        <v>0.79600000000000004</v>
      </c>
      <c r="B7" s="52">
        <v>1504.3293000000001</v>
      </c>
      <c r="C7" s="52">
        <v>75.216499999999996</v>
      </c>
      <c r="D7" s="52">
        <v>37.608199999999997</v>
      </c>
      <c r="E7" s="52">
        <v>37.608199999999997</v>
      </c>
      <c r="F7" s="52">
        <v>150.43289999999999</v>
      </c>
      <c r="G7" s="52">
        <v>75.216499999999996</v>
      </c>
      <c r="H7" s="52">
        <v>75.216499999999996</v>
      </c>
      <c r="I7" s="52">
        <v>150.43289999999999</v>
      </c>
      <c r="J7" s="52">
        <v>150.43289999999999</v>
      </c>
      <c r="K7" s="52">
        <v>451.29880000000003</v>
      </c>
      <c r="L7" s="52">
        <v>150.43289999999999</v>
      </c>
      <c r="M7" s="52">
        <v>150.43289999999999</v>
      </c>
      <c r="N7" s="5" t="s">
        <v>69</v>
      </c>
    </row>
    <row r="8" spans="1:14" x14ac:dyDescent="0.25">
      <c r="A8" s="51">
        <v>0.79700000000000004</v>
      </c>
      <c r="B8" s="52">
        <v>1504.3293000000001</v>
      </c>
      <c r="C8" s="52">
        <v>75.216499999999996</v>
      </c>
      <c r="D8" s="52">
        <v>37.608199999999997</v>
      </c>
      <c r="E8" s="52">
        <v>37.608199999999997</v>
      </c>
      <c r="F8" s="52">
        <v>150.43289999999999</v>
      </c>
      <c r="G8" s="52">
        <v>75.216499999999996</v>
      </c>
      <c r="H8" s="52">
        <v>75.216499999999996</v>
      </c>
      <c r="I8" s="52">
        <v>150.43289999999999</v>
      </c>
      <c r="J8" s="52">
        <v>150.43289999999999</v>
      </c>
      <c r="K8" s="52">
        <v>451.29880000000003</v>
      </c>
      <c r="L8" s="52">
        <v>150.43289999999999</v>
      </c>
      <c r="M8" s="52">
        <v>150.43289999999999</v>
      </c>
      <c r="N8" s="5" t="s">
        <v>69</v>
      </c>
    </row>
    <row r="9" spans="1:14" x14ac:dyDescent="0.25">
      <c r="A9" s="51">
        <v>0.79800000000000004</v>
      </c>
      <c r="B9" s="52">
        <v>1504.3293000000001</v>
      </c>
      <c r="C9" s="52">
        <v>75.216499999999996</v>
      </c>
      <c r="D9" s="52">
        <v>37.608199999999997</v>
      </c>
      <c r="E9" s="52">
        <v>37.608199999999997</v>
      </c>
      <c r="F9" s="52">
        <v>150.43289999999999</v>
      </c>
      <c r="G9" s="52">
        <v>75.216499999999996</v>
      </c>
      <c r="H9" s="52">
        <v>75.216499999999996</v>
      </c>
      <c r="I9" s="52">
        <v>150.43289999999999</v>
      </c>
      <c r="J9" s="52">
        <v>150.43289999999999</v>
      </c>
      <c r="K9" s="52">
        <v>451.29880000000003</v>
      </c>
      <c r="L9" s="52">
        <v>150.43289999999999</v>
      </c>
      <c r="M9" s="52">
        <v>150.43289999999999</v>
      </c>
      <c r="N9" s="5" t="s">
        <v>69</v>
      </c>
    </row>
    <row r="10" spans="1:14" x14ac:dyDescent="0.25">
      <c r="A10" s="51">
        <v>0.79900000000000004</v>
      </c>
      <c r="B10" s="52">
        <v>1504.3293000000001</v>
      </c>
      <c r="C10" s="52">
        <v>75.216499999999996</v>
      </c>
      <c r="D10" s="52">
        <v>37.608199999999997</v>
      </c>
      <c r="E10" s="52">
        <v>37.608199999999997</v>
      </c>
      <c r="F10" s="52">
        <v>150.43289999999999</v>
      </c>
      <c r="G10" s="52">
        <v>75.216499999999996</v>
      </c>
      <c r="H10" s="52">
        <v>75.216499999999996</v>
      </c>
      <c r="I10" s="52">
        <v>150.43289999999999</v>
      </c>
      <c r="J10" s="52">
        <v>150.43289999999999</v>
      </c>
      <c r="K10" s="52">
        <v>451.29880000000003</v>
      </c>
      <c r="L10" s="52">
        <v>150.43289999999999</v>
      </c>
      <c r="M10" s="52">
        <v>150.43289999999999</v>
      </c>
      <c r="N10" s="5" t="s">
        <v>69</v>
      </c>
    </row>
    <row r="11" spans="1:14" x14ac:dyDescent="0.25">
      <c r="A11" s="51">
        <v>0.8</v>
      </c>
      <c r="B11" s="52">
        <v>1504.3293000000001</v>
      </c>
      <c r="C11" s="52">
        <v>75.216499999999996</v>
      </c>
      <c r="D11" s="52">
        <v>37.608199999999997</v>
      </c>
      <c r="E11" s="52">
        <v>37.608199999999997</v>
      </c>
      <c r="F11" s="52">
        <v>150.43289999999999</v>
      </c>
      <c r="G11" s="52">
        <v>75.216499999999996</v>
      </c>
      <c r="H11" s="52">
        <v>75.216499999999996</v>
      </c>
      <c r="I11" s="52">
        <v>150.43289999999999</v>
      </c>
      <c r="J11" s="52">
        <v>150.43289999999999</v>
      </c>
      <c r="K11" s="52">
        <v>451.29880000000003</v>
      </c>
      <c r="L11" s="52">
        <v>150.43289999999999</v>
      </c>
      <c r="M11" s="52">
        <v>150.43289999999999</v>
      </c>
      <c r="N11" s="5" t="s">
        <v>69</v>
      </c>
    </row>
    <row r="12" spans="1:14" x14ac:dyDescent="0.25">
      <c r="A12" s="51">
        <v>0.80100000000000005</v>
      </c>
      <c r="B12" s="52">
        <v>1506.2097000000001</v>
      </c>
      <c r="C12" s="52">
        <v>75.310500000000005</v>
      </c>
      <c r="D12" s="52">
        <v>37.655200000000001</v>
      </c>
      <c r="E12" s="52">
        <v>37.655200000000001</v>
      </c>
      <c r="F12" s="52">
        <v>150.62100000000001</v>
      </c>
      <c r="G12" s="52">
        <v>75.310500000000005</v>
      </c>
      <c r="H12" s="52">
        <v>75.310500000000005</v>
      </c>
      <c r="I12" s="52">
        <v>150.62100000000001</v>
      </c>
      <c r="J12" s="52">
        <v>150.62100000000001</v>
      </c>
      <c r="K12" s="52">
        <v>451.86290000000002</v>
      </c>
      <c r="L12" s="52">
        <v>150.62100000000001</v>
      </c>
      <c r="M12" s="52">
        <v>150.62100000000001</v>
      </c>
      <c r="N12" s="5" t="s">
        <v>69</v>
      </c>
    </row>
    <row r="13" spans="1:14" x14ac:dyDescent="0.25">
      <c r="A13" s="51">
        <v>0.80200000000000005</v>
      </c>
      <c r="B13" s="52">
        <v>1508.0902000000001</v>
      </c>
      <c r="C13" s="52">
        <v>75.404499999999999</v>
      </c>
      <c r="D13" s="52">
        <v>37.702300000000001</v>
      </c>
      <c r="E13" s="52">
        <v>37.702300000000001</v>
      </c>
      <c r="F13" s="52">
        <v>150.809</v>
      </c>
      <c r="G13" s="52">
        <v>75.404499999999999</v>
      </c>
      <c r="H13" s="52">
        <v>75.404499999999999</v>
      </c>
      <c r="I13" s="52">
        <v>150.809</v>
      </c>
      <c r="J13" s="52">
        <v>150.809</v>
      </c>
      <c r="K13" s="52">
        <v>452.42700000000002</v>
      </c>
      <c r="L13" s="52">
        <v>150.809</v>
      </c>
      <c r="M13" s="52">
        <v>150.809</v>
      </c>
      <c r="N13" s="5" t="s">
        <v>69</v>
      </c>
    </row>
    <row r="14" spans="1:14" x14ac:dyDescent="0.25">
      <c r="A14" s="51">
        <v>0.80300000000000005</v>
      </c>
      <c r="B14" s="52">
        <v>1509.9706000000001</v>
      </c>
      <c r="C14" s="52">
        <v>75.498500000000007</v>
      </c>
      <c r="D14" s="52">
        <v>37.749299999999998</v>
      </c>
      <c r="E14" s="52">
        <v>37.749299999999998</v>
      </c>
      <c r="F14" s="52">
        <v>150.99709999999999</v>
      </c>
      <c r="G14" s="52">
        <v>75.498500000000007</v>
      </c>
      <c r="H14" s="52">
        <v>75.498500000000007</v>
      </c>
      <c r="I14" s="52">
        <v>150.99709999999999</v>
      </c>
      <c r="J14" s="52">
        <v>150.99709999999999</v>
      </c>
      <c r="K14" s="52">
        <v>452.99119999999999</v>
      </c>
      <c r="L14" s="52">
        <v>150.99709999999999</v>
      </c>
      <c r="M14" s="52">
        <v>150.99709999999999</v>
      </c>
      <c r="N14" s="5" t="s">
        <v>69</v>
      </c>
    </row>
    <row r="15" spans="1:14" x14ac:dyDescent="0.25">
      <c r="A15" s="51">
        <v>0.80400000000000005</v>
      </c>
      <c r="B15" s="52">
        <v>1511.8510000000001</v>
      </c>
      <c r="C15" s="52">
        <v>75.592500000000001</v>
      </c>
      <c r="D15" s="52">
        <v>37.796300000000002</v>
      </c>
      <c r="E15" s="52">
        <v>37.796300000000002</v>
      </c>
      <c r="F15" s="52">
        <v>151.18510000000001</v>
      </c>
      <c r="G15" s="52">
        <v>75.592500000000001</v>
      </c>
      <c r="H15" s="52">
        <v>75.592500000000001</v>
      </c>
      <c r="I15" s="52">
        <v>151.18510000000001</v>
      </c>
      <c r="J15" s="52">
        <v>151.18510000000001</v>
      </c>
      <c r="K15" s="52">
        <v>453.55529999999999</v>
      </c>
      <c r="L15" s="52">
        <v>151.18510000000001</v>
      </c>
      <c r="M15" s="52">
        <v>151.18510000000001</v>
      </c>
      <c r="N15" s="5" t="s">
        <v>69</v>
      </c>
    </row>
    <row r="16" spans="1:14" x14ac:dyDescent="0.25">
      <c r="A16" s="51">
        <v>0.80500000000000005</v>
      </c>
      <c r="B16" s="52">
        <v>1513.7313999999999</v>
      </c>
      <c r="C16" s="52">
        <v>75.686599999999999</v>
      </c>
      <c r="D16" s="52">
        <v>37.843299999999999</v>
      </c>
      <c r="E16" s="52">
        <v>37.843299999999999</v>
      </c>
      <c r="F16" s="52">
        <v>151.37309999999999</v>
      </c>
      <c r="G16" s="52">
        <v>75.686599999999999</v>
      </c>
      <c r="H16" s="52">
        <v>75.686599999999999</v>
      </c>
      <c r="I16" s="52">
        <v>151.37309999999999</v>
      </c>
      <c r="J16" s="52">
        <v>151.37309999999999</v>
      </c>
      <c r="K16" s="52">
        <v>454.11939999999998</v>
      </c>
      <c r="L16" s="52">
        <v>151.37309999999999</v>
      </c>
      <c r="M16" s="52">
        <v>151.37309999999999</v>
      </c>
      <c r="N16" s="5" t="s">
        <v>69</v>
      </c>
    </row>
    <row r="17" spans="1:14" x14ac:dyDescent="0.25">
      <c r="A17" s="51">
        <v>0.80600000000000005</v>
      </c>
      <c r="B17" s="52">
        <v>1515.6117999999999</v>
      </c>
      <c r="C17" s="52">
        <v>75.780600000000007</v>
      </c>
      <c r="D17" s="52">
        <v>37.890300000000003</v>
      </c>
      <c r="E17" s="52">
        <v>37.890300000000003</v>
      </c>
      <c r="F17" s="52">
        <v>151.56120000000001</v>
      </c>
      <c r="G17" s="52">
        <v>75.780600000000007</v>
      </c>
      <c r="H17" s="52">
        <v>75.780600000000007</v>
      </c>
      <c r="I17" s="52">
        <v>151.56120000000001</v>
      </c>
      <c r="J17" s="52">
        <v>151.56120000000001</v>
      </c>
      <c r="K17" s="52">
        <v>454.68349999999998</v>
      </c>
      <c r="L17" s="52">
        <v>151.56120000000001</v>
      </c>
      <c r="M17" s="52">
        <v>151.56120000000001</v>
      </c>
      <c r="N17" s="5" t="s">
        <v>69</v>
      </c>
    </row>
    <row r="18" spans="1:14" x14ac:dyDescent="0.25">
      <c r="A18" s="51">
        <v>0.80700000000000005</v>
      </c>
      <c r="B18" s="52">
        <v>1517.4921999999999</v>
      </c>
      <c r="C18" s="52">
        <v>75.874600000000001</v>
      </c>
      <c r="D18" s="52">
        <v>37.9373</v>
      </c>
      <c r="E18" s="52">
        <v>37.9373</v>
      </c>
      <c r="F18" s="52">
        <v>151.7492</v>
      </c>
      <c r="G18" s="52">
        <v>75.874600000000001</v>
      </c>
      <c r="H18" s="52">
        <v>75.874600000000001</v>
      </c>
      <c r="I18" s="52">
        <v>151.7492</v>
      </c>
      <c r="J18" s="52">
        <v>151.7492</v>
      </c>
      <c r="K18" s="52">
        <v>455.24770000000001</v>
      </c>
      <c r="L18" s="52">
        <v>151.7492</v>
      </c>
      <c r="M18" s="52">
        <v>151.7492</v>
      </c>
      <c r="N18" s="5" t="s">
        <v>69</v>
      </c>
    </row>
    <row r="19" spans="1:14" x14ac:dyDescent="0.25">
      <c r="A19" s="51">
        <v>0.80800000000000005</v>
      </c>
      <c r="B19" s="52">
        <v>1519.3725999999999</v>
      </c>
      <c r="C19" s="52">
        <v>75.968599999999995</v>
      </c>
      <c r="D19" s="52">
        <v>37.984299999999998</v>
      </c>
      <c r="E19" s="52">
        <v>37.984299999999998</v>
      </c>
      <c r="F19" s="52">
        <v>151.93729999999999</v>
      </c>
      <c r="G19" s="52">
        <v>75.968599999999995</v>
      </c>
      <c r="H19" s="52">
        <v>75.968599999999995</v>
      </c>
      <c r="I19" s="52">
        <v>151.93729999999999</v>
      </c>
      <c r="J19" s="52">
        <v>151.93729999999999</v>
      </c>
      <c r="K19" s="52">
        <v>455.81180000000001</v>
      </c>
      <c r="L19" s="52">
        <v>151.93729999999999</v>
      </c>
      <c r="M19" s="52">
        <v>151.93729999999999</v>
      </c>
      <c r="N19" s="5" t="s">
        <v>69</v>
      </c>
    </row>
    <row r="20" spans="1:14" x14ac:dyDescent="0.25">
      <c r="A20" s="51">
        <v>0.80900000000000005</v>
      </c>
      <c r="B20" s="52">
        <v>1521.2529999999999</v>
      </c>
      <c r="C20" s="52">
        <v>76.062700000000007</v>
      </c>
      <c r="D20" s="52">
        <v>38.031300000000002</v>
      </c>
      <c r="E20" s="52">
        <v>38.031300000000002</v>
      </c>
      <c r="F20" s="52">
        <v>152.12530000000001</v>
      </c>
      <c r="G20" s="52">
        <v>76.062700000000007</v>
      </c>
      <c r="H20" s="52">
        <v>76.062700000000007</v>
      </c>
      <c r="I20" s="52">
        <v>152.12530000000001</v>
      </c>
      <c r="J20" s="52">
        <v>152.12530000000001</v>
      </c>
      <c r="K20" s="52">
        <v>456.3759</v>
      </c>
      <c r="L20" s="52">
        <v>152.12530000000001</v>
      </c>
      <c r="M20" s="52">
        <v>152.12530000000001</v>
      </c>
      <c r="N20" s="5" t="s">
        <v>69</v>
      </c>
    </row>
    <row r="21" spans="1:14" x14ac:dyDescent="0.25">
      <c r="A21" s="51">
        <v>0.81</v>
      </c>
      <c r="B21" s="52">
        <v>1523.1333999999999</v>
      </c>
      <c r="C21" s="52">
        <v>76.156700000000001</v>
      </c>
      <c r="D21" s="52">
        <v>38.078299999999999</v>
      </c>
      <c r="E21" s="52">
        <v>38.078299999999999</v>
      </c>
      <c r="F21" s="52">
        <v>152.3133</v>
      </c>
      <c r="G21" s="52">
        <v>76.156700000000001</v>
      </c>
      <c r="H21" s="52">
        <v>76.156700000000001</v>
      </c>
      <c r="I21" s="52">
        <v>152.3133</v>
      </c>
      <c r="J21" s="52">
        <v>152.3133</v>
      </c>
      <c r="K21" s="52">
        <v>456.94</v>
      </c>
      <c r="L21" s="52">
        <v>152.3133</v>
      </c>
      <c r="M21" s="52">
        <v>152.3133</v>
      </c>
      <c r="N21" s="5" t="s">
        <v>69</v>
      </c>
    </row>
    <row r="22" spans="1:14" x14ac:dyDescent="0.25">
      <c r="A22" s="51">
        <v>0.81100000000000005</v>
      </c>
      <c r="B22" s="52">
        <v>1525.0138999999999</v>
      </c>
      <c r="C22" s="52">
        <v>76.250699999999995</v>
      </c>
      <c r="D22" s="52">
        <v>38.125300000000003</v>
      </c>
      <c r="E22" s="52">
        <v>38.125300000000003</v>
      </c>
      <c r="F22" s="52">
        <v>152.50139999999999</v>
      </c>
      <c r="G22" s="52">
        <v>76.250699999999995</v>
      </c>
      <c r="H22" s="52">
        <v>76.250699999999995</v>
      </c>
      <c r="I22" s="52">
        <v>152.50139999999999</v>
      </c>
      <c r="J22" s="52">
        <v>152.50139999999999</v>
      </c>
      <c r="K22" s="52">
        <v>457.50420000000003</v>
      </c>
      <c r="L22" s="52">
        <v>152.50139999999999</v>
      </c>
      <c r="M22" s="52">
        <v>152.50139999999999</v>
      </c>
      <c r="N22" s="5" t="s">
        <v>69</v>
      </c>
    </row>
    <row r="23" spans="1:14" x14ac:dyDescent="0.25">
      <c r="A23" s="51">
        <v>0.81200000000000006</v>
      </c>
      <c r="B23" s="52">
        <v>1526.8942999999999</v>
      </c>
      <c r="C23" s="52">
        <v>76.344700000000003</v>
      </c>
      <c r="D23" s="52">
        <v>38.172400000000003</v>
      </c>
      <c r="E23" s="52">
        <v>38.172400000000003</v>
      </c>
      <c r="F23" s="52">
        <v>152.68940000000001</v>
      </c>
      <c r="G23" s="52">
        <v>76.344700000000003</v>
      </c>
      <c r="H23" s="52">
        <v>76.344700000000003</v>
      </c>
      <c r="I23" s="52">
        <v>152.68940000000001</v>
      </c>
      <c r="J23" s="52">
        <v>152.68940000000001</v>
      </c>
      <c r="K23" s="52">
        <v>458.06830000000002</v>
      </c>
      <c r="L23" s="52">
        <v>152.68940000000001</v>
      </c>
      <c r="M23" s="52">
        <v>152.68940000000001</v>
      </c>
      <c r="N23" s="5" t="s">
        <v>69</v>
      </c>
    </row>
    <row r="24" spans="1:14" x14ac:dyDescent="0.25">
      <c r="A24" s="51">
        <v>0.81299999999999994</v>
      </c>
      <c r="B24" s="52">
        <v>1528.7746999999999</v>
      </c>
      <c r="C24" s="52">
        <v>76.438699999999997</v>
      </c>
      <c r="D24" s="52">
        <v>38.2194</v>
      </c>
      <c r="E24" s="52">
        <v>38.2194</v>
      </c>
      <c r="F24" s="52">
        <v>152.8775</v>
      </c>
      <c r="G24" s="52">
        <v>76.438699999999997</v>
      </c>
      <c r="H24" s="52">
        <v>76.438699999999997</v>
      </c>
      <c r="I24" s="52">
        <v>152.8775</v>
      </c>
      <c r="J24" s="52">
        <v>152.8775</v>
      </c>
      <c r="K24" s="52">
        <v>458.63240000000002</v>
      </c>
      <c r="L24" s="52">
        <v>152.8775</v>
      </c>
      <c r="M24" s="52">
        <v>152.8775</v>
      </c>
      <c r="N24" s="5" t="s">
        <v>69</v>
      </c>
    </row>
    <row r="25" spans="1:14" x14ac:dyDescent="0.25">
      <c r="A25" s="51">
        <v>0.81399999999999995</v>
      </c>
      <c r="B25" s="52">
        <v>1530.6550999999999</v>
      </c>
      <c r="C25" s="52">
        <v>76.532799999999995</v>
      </c>
      <c r="D25" s="52">
        <v>38.266399999999997</v>
      </c>
      <c r="E25" s="52">
        <v>38.266399999999997</v>
      </c>
      <c r="F25" s="52">
        <v>153.06549999999999</v>
      </c>
      <c r="G25" s="52">
        <v>76.532799999999995</v>
      </c>
      <c r="H25" s="52">
        <v>76.532799999999995</v>
      </c>
      <c r="I25" s="52">
        <v>153.06549999999999</v>
      </c>
      <c r="J25" s="52">
        <v>153.06549999999999</v>
      </c>
      <c r="K25" s="52">
        <v>459.19650000000001</v>
      </c>
      <c r="L25" s="52">
        <v>153.06549999999999</v>
      </c>
      <c r="M25" s="52">
        <v>153.06549999999999</v>
      </c>
      <c r="N25" s="5" t="s">
        <v>69</v>
      </c>
    </row>
    <row r="26" spans="1:14" x14ac:dyDescent="0.25">
      <c r="A26" s="51">
        <v>0.81499999999999995</v>
      </c>
      <c r="B26" s="52">
        <v>1532.5355</v>
      </c>
      <c r="C26" s="52">
        <v>76.626800000000003</v>
      </c>
      <c r="D26" s="52">
        <v>38.313400000000001</v>
      </c>
      <c r="E26" s="52">
        <v>38.313400000000001</v>
      </c>
      <c r="F26" s="52">
        <v>153.25360000000001</v>
      </c>
      <c r="G26" s="52">
        <v>76.626800000000003</v>
      </c>
      <c r="H26" s="52">
        <v>76.626800000000003</v>
      </c>
      <c r="I26" s="52">
        <v>153.25360000000001</v>
      </c>
      <c r="J26" s="52">
        <v>153.25360000000001</v>
      </c>
      <c r="K26" s="52">
        <v>459.76069999999999</v>
      </c>
      <c r="L26" s="52">
        <v>153.25360000000001</v>
      </c>
      <c r="M26" s="52">
        <v>153.25360000000001</v>
      </c>
      <c r="N26" s="5" t="s">
        <v>69</v>
      </c>
    </row>
    <row r="27" spans="1:14" x14ac:dyDescent="0.25">
      <c r="A27" s="51">
        <v>0.81599999999999995</v>
      </c>
      <c r="B27" s="52">
        <v>1534.4159</v>
      </c>
      <c r="C27" s="52">
        <v>76.720799999999997</v>
      </c>
      <c r="D27" s="52">
        <v>38.360399999999998</v>
      </c>
      <c r="E27" s="52">
        <v>38.360399999999998</v>
      </c>
      <c r="F27" s="52">
        <v>153.44159999999999</v>
      </c>
      <c r="G27" s="52">
        <v>76.720799999999997</v>
      </c>
      <c r="H27" s="52">
        <v>76.720799999999997</v>
      </c>
      <c r="I27" s="52">
        <v>153.44159999999999</v>
      </c>
      <c r="J27" s="52">
        <v>153.44159999999999</v>
      </c>
      <c r="K27" s="52">
        <v>460.32479999999998</v>
      </c>
      <c r="L27" s="52">
        <v>153.44159999999999</v>
      </c>
      <c r="M27" s="52">
        <v>153.44159999999999</v>
      </c>
      <c r="N27" s="5" t="s">
        <v>69</v>
      </c>
    </row>
    <row r="28" spans="1:14" x14ac:dyDescent="0.25">
      <c r="A28" s="51">
        <v>0.81699999999999995</v>
      </c>
      <c r="B28" s="52">
        <v>1536.2963</v>
      </c>
      <c r="C28" s="52">
        <v>76.814800000000005</v>
      </c>
      <c r="D28" s="52">
        <v>38.407400000000003</v>
      </c>
      <c r="E28" s="52">
        <v>38.407400000000003</v>
      </c>
      <c r="F28" s="52">
        <v>153.62960000000001</v>
      </c>
      <c r="G28" s="52">
        <v>76.814800000000005</v>
      </c>
      <c r="H28" s="52">
        <v>76.814800000000005</v>
      </c>
      <c r="I28" s="52">
        <v>153.62960000000001</v>
      </c>
      <c r="J28" s="52">
        <v>153.62960000000001</v>
      </c>
      <c r="K28" s="52">
        <v>460.88889999999998</v>
      </c>
      <c r="L28" s="52">
        <v>153.62960000000001</v>
      </c>
      <c r="M28" s="52">
        <v>153.62960000000001</v>
      </c>
      <c r="N28" s="5" t="s">
        <v>69</v>
      </c>
    </row>
    <row r="29" spans="1:14" x14ac:dyDescent="0.25">
      <c r="A29" s="51">
        <v>0.81799999999999995</v>
      </c>
      <c r="B29" s="52">
        <v>1538.1767</v>
      </c>
      <c r="C29" s="52">
        <v>76.908799999999999</v>
      </c>
      <c r="D29" s="52">
        <v>38.4544</v>
      </c>
      <c r="E29" s="52">
        <v>38.4544</v>
      </c>
      <c r="F29" s="52">
        <v>153.8177</v>
      </c>
      <c r="G29" s="52">
        <v>76.908799999999999</v>
      </c>
      <c r="H29" s="52">
        <v>76.908799999999999</v>
      </c>
      <c r="I29" s="52">
        <v>153.8177</v>
      </c>
      <c r="J29" s="52">
        <v>153.8177</v>
      </c>
      <c r="K29" s="52">
        <v>461.45299999999997</v>
      </c>
      <c r="L29" s="52">
        <v>153.8177</v>
      </c>
      <c r="M29" s="52">
        <v>153.8177</v>
      </c>
      <c r="N29" s="5" t="s">
        <v>69</v>
      </c>
    </row>
    <row r="30" spans="1:14" x14ac:dyDescent="0.25">
      <c r="A30" s="51">
        <v>0.81899999999999995</v>
      </c>
      <c r="B30" s="52">
        <v>1540.0572</v>
      </c>
      <c r="C30" s="52">
        <v>77.002899999999997</v>
      </c>
      <c r="D30" s="52">
        <v>38.501399999999997</v>
      </c>
      <c r="E30" s="52">
        <v>38.501399999999997</v>
      </c>
      <c r="F30" s="52">
        <v>154.00569999999999</v>
      </c>
      <c r="G30" s="52">
        <v>77.002899999999997</v>
      </c>
      <c r="H30" s="52">
        <v>77.002899999999997</v>
      </c>
      <c r="I30" s="52">
        <v>154.00569999999999</v>
      </c>
      <c r="J30" s="52">
        <v>154.00569999999999</v>
      </c>
      <c r="K30" s="52">
        <v>462.01710000000003</v>
      </c>
      <c r="L30" s="52">
        <v>154.00569999999999</v>
      </c>
      <c r="M30" s="52">
        <v>154.00569999999999</v>
      </c>
      <c r="N30" s="5" t="s">
        <v>69</v>
      </c>
    </row>
    <row r="31" spans="1:14" x14ac:dyDescent="0.25">
      <c r="A31" s="51">
        <v>0.82</v>
      </c>
      <c r="B31" s="52">
        <v>1541.9376</v>
      </c>
      <c r="C31" s="52">
        <v>77.096900000000005</v>
      </c>
      <c r="D31" s="52">
        <v>38.548400000000001</v>
      </c>
      <c r="E31" s="52">
        <v>38.548400000000001</v>
      </c>
      <c r="F31" s="52">
        <v>154.19380000000001</v>
      </c>
      <c r="G31" s="52">
        <v>77.096900000000005</v>
      </c>
      <c r="H31" s="52">
        <v>77.096900000000005</v>
      </c>
      <c r="I31" s="52">
        <v>154.19380000000001</v>
      </c>
      <c r="J31" s="52">
        <v>154.19380000000001</v>
      </c>
      <c r="K31" s="52">
        <v>462.5813</v>
      </c>
      <c r="L31" s="52">
        <v>154.19380000000001</v>
      </c>
      <c r="M31" s="52">
        <v>154.19380000000001</v>
      </c>
      <c r="N31" s="5" t="s">
        <v>69</v>
      </c>
    </row>
    <row r="32" spans="1:14" x14ac:dyDescent="0.25">
      <c r="A32" s="51">
        <v>0.82099999999999995</v>
      </c>
      <c r="B32" s="52">
        <v>1543.818</v>
      </c>
      <c r="C32" s="52">
        <v>77.190899999999999</v>
      </c>
      <c r="D32" s="52">
        <v>38.595399999999998</v>
      </c>
      <c r="E32" s="52">
        <v>38.595399999999998</v>
      </c>
      <c r="F32" s="52">
        <v>154.3818</v>
      </c>
      <c r="G32" s="52">
        <v>77.190899999999999</v>
      </c>
      <c r="H32" s="52">
        <v>77.190899999999999</v>
      </c>
      <c r="I32" s="52">
        <v>154.3818</v>
      </c>
      <c r="J32" s="52">
        <v>154.3818</v>
      </c>
      <c r="K32" s="52">
        <v>463.1454</v>
      </c>
      <c r="L32" s="52">
        <v>154.3818</v>
      </c>
      <c r="M32" s="52">
        <v>154.3818</v>
      </c>
      <c r="N32" s="5" t="s">
        <v>69</v>
      </c>
    </row>
    <row r="33" spans="1:14" x14ac:dyDescent="0.25">
      <c r="A33" s="51">
        <v>0.82199999999999995</v>
      </c>
      <c r="B33" s="52">
        <v>1545.6984</v>
      </c>
      <c r="C33" s="52">
        <v>77.284899999999993</v>
      </c>
      <c r="D33" s="52">
        <v>38.642499999999998</v>
      </c>
      <c r="E33" s="52">
        <v>38.642499999999998</v>
      </c>
      <c r="F33" s="52">
        <v>154.56979999999999</v>
      </c>
      <c r="G33" s="52">
        <v>77.284899999999993</v>
      </c>
      <c r="H33" s="52">
        <v>77.284899999999993</v>
      </c>
      <c r="I33" s="52">
        <v>154.56979999999999</v>
      </c>
      <c r="J33" s="52">
        <v>154.56979999999999</v>
      </c>
      <c r="K33" s="52">
        <v>463.70949999999999</v>
      </c>
      <c r="L33" s="52">
        <v>154.56979999999999</v>
      </c>
      <c r="M33" s="52">
        <v>154.56979999999999</v>
      </c>
      <c r="N33" s="5" t="s">
        <v>69</v>
      </c>
    </row>
    <row r="34" spans="1:14" x14ac:dyDescent="0.25">
      <c r="A34" s="51">
        <v>0.82299999999999995</v>
      </c>
      <c r="B34" s="52">
        <v>1547.5788</v>
      </c>
      <c r="C34" s="52">
        <v>77.378900000000002</v>
      </c>
      <c r="D34" s="52">
        <v>38.689500000000002</v>
      </c>
      <c r="E34" s="52">
        <v>38.689500000000002</v>
      </c>
      <c r="F34" s="52">
        <v>154.75790000000001</v>
      </c>
      <c r="G34" s="52">
        <v>77.378900000000002</v>
      </c>
      <c r="H34" s="52">
        <v>77.378900000000002</v>
      </c>
      <c r="I34" s="52">
        <v>154.75790000000001</v>
      </c>
      <c r="J34" s="52">
        <v>154.75790000000001</v>
      </c>
      <c r="K34" s="52">
        <v>464.27359999999999</v>
      </c>
      <c r="L34" s="52">
        <v>154.75790000000001</v>
      </c>
      <c r="M34" s="52">
        <v>154.75790000000001</v>
      </c>
      <c r="N34" s="5" t="s">
        <v>69</v>
      </c>
    </row>
    <row r="35" spans="1:14" x14ac:dyDescent="0.25">
      <c r="A35" s="51">
        <v>0.82399999999999995</v>
      </c>
      <c r="B35" s="52">
        <v>1549.4592</v>
      </c>
      <c r="C35" s="52">
        <v>77.472999999999999</v>
      </c>
      <c r="D35" s="52">
        <v>38.736499999999999</v>
      </c>
      <c r="E35" s="52">
        <v>38.736499999999999</v>
      </c>
      <c r="F35" s="52">
        <v>154.94589999999999</v>
      </c>
      <c r="G35" s="52">
        <v>77.472999999999999</v>
      </c>
      <c r="H35" s="52">
        <v>77.472999999999999</v>
      </c>
      <c r="I35" s="52">
        <v>154.94589999999999</v>
      </c>
      <c r="J35" s="52">
        <v>154.94589999999999</v>
      </c>
      <c r="K35" s="52">
        <v>464.83780000000002</v>
      </c>
      <c r="L35" s="52">
        <v>154.94589999999999</v>
      </c>
      <c r="M35" s="52">
        <v>154.94589999999999</v>
      </c>
      <c r="N35" s="5" t="s">
        <v>69</v>
      </c>
    </row>
    <row r="36" spans="1:14" x14ac:dyDescent="0.25">
      <c r="A36" s="51">
        <v>0.82499999999999996</v>
      </c>
      <c r="B36" s="52">
        <v>1551.3396</v>
      </c>
      <c r="C36" s="52">
        <v>77.566999999999993</v>
      </c>
      <c r="D36" s="52">
        <v>38.783499999999997</v>
      </c>
      <c r="E36" s="52">
        <v>38.783499999999997</v>
      </c>
      <c r="F36" s="52">
        <v>155.13399999999999</v>
      </c>
      <c r="G36" s="52">
        <v>77.566999999999993</v>
      </c>
      <c r="H36" s="52">
        <v>77.566999999999993</v>
      </c>
      <c r="I36" s="52">
        <v>155.13399999999999</v>
      </c>
      <c r="J36" s="52">
        <v>155.13399999999999</v>
      </c>
      <c r="K36" s="52">
        <v>465.40190000000001</v>
      </c>
      <c r="L36" s="52">
        <v>155.13399999999999</v>
      </c>
      <c r="M36" s="52">
        <v>155.13399999999999</v>
      </c>
      <c r="N36" s="5" t="s">
        <v>69</v>
      </c>
    </row>
    <row r="37" spans="1:14" x14ac:dyDescent="0.25">
      <c r="A37" s="51">
        <v>0.82599999999999996</v>
      </c>
      <c r="B37" s="52">
        <v>1553.22</v>
      </c>
      <c r="C37" s="52">
        <v>77.661000000000001</v>
      </c>
      <c r="D37" s="52">
        <v>38.830500000000001</v>
      </c>
      <c r="E37" s="52">
        <v>38.830500000000001</v>
      </c>
      <c r="F37" s="52">
        <v>155.322</v>
      </c>
      <c r="G37" s="52">
        <v>77.661000000000001</v>
      </c>
      <c r="H37" s="52">
        <v>77.661000000000001</v>
      </c>
      <c r="I37" s="52">
        <v>155.322</v>
      </c>
      <c r="J37" s="52">
        <v>155.322</v>
      </c>
      <c r="K37" s="52">
        <v>465.96600000000001</v>
      </c>
      <c r="L37" s="52">
        <v>155.322</v>
      </c>
      <c r="M37" s="52">
        <v>155.322</v>
      </c>
      <c r="N37" s="5" t="s">
        <v>69</v>
      </c>
    </row>
    <row r="38" spans="1:14" x14ac:dyDescent="0.25">
      <c r="A38" s="51">
        <v>0.82699999999999996</v>
      </c>
      <c r="B38" s="52">
        <v>1555.1004</v>
      </c>
      <c r="C38" s="52">
        <v>77.754999999999995</v>
      </c>
      <c r="D38" s="52">
        <v>38.877499999999998</v>
      </c>
      <c r="E38" s="52">
        <v>38.877499999999998</v>
      </c>
      <c r="F38" s="52">
        <v>155.51</v>
      </c>
      <c r="G38" s="52">
        <v>77.754999999999995</v>
      </c>
      <c r="H38" s="52">
        <v>77.754999999999995</v>
      </c>
      <c r="I38" s="52">
        <v>155.51</v>
      </c>
      <c r="J38" s="52">
        <v>155.51</v>
      </c>
      <c r="K38" s="52">
        <v>466.5301</v>
      </c>
      <c r="L38" s="52">
        <v>155.51</v>
      </c>
      <c r="M38" s="52">
        <v>155.51</v>
      </c>
      <c r="N38" s="5" t="s">
        <v>69</v>
      </c>
    </row>
    <row r="39" spans="1:14" x14ac:dyDescent="0.25">
      <c r="A39" s="51">
        <v>0.82799999999999996</v>
      </c>
      <c r="B39" s="52">
        <v>1556.9809</v>
      </c>
      <c r="C39" s="52">
        <v>77.849000000000004</v>
      </c>
      <c r="D39" s="52">
        <v>38.924500000000002</v>
      </c>
      <c r="E39" s="52">
        <v>38.924500000000002</v>
      </c>
      <c r="F39" s="52">
        <v>155.69810000000001</v>
      </c>
      <c r="G39" s="52">
        <v>77.849000000000004</v>
      </c>
      <c r="H39" s="52">
        <v>77.849000000000004</v>
      </c>
      <c r="I39" s="52">
        <v>155.69810000000001</v>
      </c>
      <c r="J39" s="52">
        <v>155.69810000000001</v>
      </c>
      <c r="K39" s="52">
        <v>467.09429999999998</v>
      </c>
      <c r="L39" s="52">
        <v>155.69810000000001</v>
      </c>
      <c r="M39" s="52">
        <v>155.69810000000001</v>
      </c>
      <c r="N39" s="5" t="s">
        <v>69</v>
      </c>
    </row>
    <row r="40" spans="1:14" x14ac:dyDescent="0.25">
      <c r="A40" s="51">
        <v>0.82899999999999996</v>
      </c>
      <c r="B40" s="52">
        <v>1558.8613</v>
      </c>
      <c r="C40" s="52">
        <v>77.943100000000001</v>
      </c>
      <c r="D40" s="52">
        <v>38.971499999999999</v>
      </c>
      <c r="E40" s="52">
        <v>38.971499999999999</v>
      </c>
      <c r="F40" s="52">
        <v>155.8861</v>
      </c>
      <c r="G40" s="52">
        <v>77.943100000000001</v>
      </c>
      <c r="H40" s="52">
        <v>77.943100000000001</v>
      </c>
      <c r="I40" s="52">
        <v>155.8861</v>
      </c>
      <c r="J40" s="52">
        <v>155.8861</v>
      </c>
      <c r="K40" s="52">
        <v>467.65839999999997</v>
      </c>
      <c r="L40" s="52">
        <v>155.8861</v>
      </c>
      <c r="M40" s="52">
        <v>155.8861</v>
      </c>
      <c r="N40" s="5" t="s">
        <v>69</v>
      </c>
    </row>
    <row r="41" spans="1:14" x14ac:dyDescent="0.25">
      <c r="A41" s="51">
        <v>0.83</v>
      </c>
      <c r="B41" s="52">
        <v>1560.7417</v>
      </c>
      <c r="C41" s="52">
        <v>78.037099999999995</v>
      </c>
      <c r="D41" s="52">
        <v>39.018500000000003</v>
      </c>
      <c r="E41" s="52">
        <v>39.018500000000003</v>
      </c>
      <c r="F41" s="52">
        <v>156.07419999999999</v>
      </c>
      <c r="G41" s="52">
        <v>78.037099999999995</v>
      </c>
      <c r="H41" s="52">
        <v>78.037099999999995</v>
      </c>
      <c r="I41" s="52">
        <v>156.07419999999999</v>
      </c>
      <c r="J41" s="52">
        <v>156.07419999999999</v>
      </c>
      <c r="K41" s="52">
        <v>468.22250000000003</v>
      </c>
      <c r="L41" s="52">
        <v>156.07419999999999</v>
      </c>
      <c r="M41" s="52">
        <v>156.07419999999999</v>
      </c>
      <c r="N41" s="5" t="s">
        <v>69</v>
      </c>
    </row>
    <row r="42" spans="1:14" x14ac:dyDescent="0.25">
      <c r="A42" s="51">
        <v>0.83099999999999996</v>
      </c>
      <c r="B42" s="52">
        <v>1562.6221</v>
      </c>
      <c r="C42" s="52">
        <v>78.131100000000004</v>
      </c>
      <c r="D42" s="52">
        <v>39.065600000000003</v>
      </c>
      <c r="E42" s="52">
        <v>39.065600000000003</v>
      </c>
      <c r="F42" s="52">
        <v>156.26220000000001</v>
      </c>
      <c r="G42" s="52">
        <v>78.131100000000004</v>
      </c>
      <c r="H42" s="52">
        <v>78.131100000000004</v>
      </c>
      <c r="I42" s="52">
        <v>156.26220000000001</v>
      </c>
      <c r="J42" s="52">
        <v>156.26220000000001</v>
      </c>
      <c r="K42" s="52">
        <v>468.78660000000002</v>
      </c>
      <c r="L42" s="52">
        <v>156.26220000000001</v>
      </c>
      <c r="M42" s="52">
        <v>156.26220000000001</v>
      </c>
      <c r="N42" s="5" t="s">
        <v>69</v>
      </c>
    </row>
    <row r="43" spans="1:14" x14ac:dyDescent="0.25">
      <c r="A43" s="51">
        <v>0.83199999999999996</v>
      </c>
      <c r="B43" s="52">
        <v>1564.5025000000001</v>
      </c>
      <c r="C43" s="52">
        <v>78.225099999999998</v>
      </c>
      <c r="D43" s="52">
        <v>39.1126</v>
      </c>
      <c r="E43" s="52">
        <v>39.1126</v>
      </c>
      <c r="F43" s="52">
        <v>156.4503</v>
      </c>
      <c r="G43" s="52">
        <v>78.225099999999998</v>
      </c>
      <c r="H43" s="52">
        <v>78.225099999999998</v>
      </c>
      <c r="I43" s="52">
        <v>156.4503</v>
      </c>
      <c r="J43" s="52">
        <v>156.4503</v>
      </c>
      <c r="K43" s="52">
        <v>469.35079999999999</v>
      </c>
      <c r="L43" s="52">
        <v>156.4503</v>
      </c>
      <c r="M43" s="52">
        <v>156.4503</v>
      </c>
      <c r="N43" s="5" t="s">
        <v>69</v>
      </c>
    </row>
    <row r="44" spans="1:14" x14ac:dyDescent="0.25">
      <c r="A44" s="51">
        <v>0.83299999999999996</v>
      </c>
      <c r="B44" s="52">
        <v>1566.3829000000001</v>
      </c>
      <c r="C44" s="52">
        <v>78.319100000000006</v>
      </c>
      <c r="D44" s="52">
        <v>39.159599999999998</v>
      </c>
      <c r="E44" s="52">
        <v>39.159599999999998</v>
      </c>
      <c r="F44" s="52">
        <v>156.63829999999999</v>
      </c>
      <c r="G44" s="52">
        <v>78.319100000000006</v>
      </c>
      <c r="H44" s="52">
        <v>78.319100000000006</v>
      </c>
      <c r="I44" s="52">
        <v>156.63829999999999</v>
      </c>
      <c r="J44" s="52">
        <v>156.63829999999999</v>
      </c>
      <c r="K44" s="52">
        <v>469.91489999999999</v>
      </c>
      <c r="L44" s="52">
        <v>156.63829999999999</v>
      </c>
      <c r="M44" s="52">
        <v>156.63829999999999</v>
      </c>
      <c r="N44" s="5" t="s">
        <v>69</v>
      </c>
    </row>
    <row r="45" spans="1:14" x14ac:dyDescent="0.25">
      <c r="A45" s="51">
        <v>0.83399999999999996</v>
      </c>
      <c r="B45" s="52">
        <v>1568.2633000000001</v>
      </c>
      <c r="C45" s="52">
        <v>78.413200000000003</v>
      </c>
      <c r="D45" s="52">
        <v>39.206600000000002</v>
      </c>
      <c r="E45" s="52">
        <v>39.206600000000002</v>
      </c>
      <c r="F45" s="52">
        <v>156.8263</v>
      </c>
      <c r="G45" s="52">
        <v>78.413200000000003</v>
      </c>
      <c r="H45" s="52">
        <v>78.413200000000003</v>
      </c>
      <c r="I45" s="52">
        <v>156.8263</v>
      </c>
      <c r="J45" s="52">
        <v>156.8263</v>
      </c>
      <c r="K45" s="52">
        <v>470.47899999999998</v>
      </c>
      <c r="L45" s="52">
        <v>156.8263</v>
      </c>
      <c r="M45" s="52">
        <v>156.8263</v>
      </c>
      <c r="N45" s="5" t="s">
        <v>69</v>
      </c>
    </row>
    <row r="46" spans="1:14" x14ac:dyDescent="0.25">
      <c r="A46" s="51">
        <v>0.83499999999999996</v>
      </c>
      <c r="B46" s="52">
        <v>1570.1437000000001</v>
      </c>
      <c r="C46" s="52">
        <v>78.507199999999997</v>
      </c>
      <c r="D46" s="52">
        <v>39.253599999999999</v>
      </c>
      <c r="E46" s="52">
        <v>39.253599999999999</v>
      </c>
      <c r="F46" s="52">
        <v>157.01439999999999</v>
      </c>
      <c r="G46" s="52">
        <v>78.507199999999997</v>
      </c>
      <c r="H46" s="52">
        <v>78.507199999999997</v>
      </c>
      <c r="I46" s="52">
        <v>157.01439999999999</v>
      </c>
      <c r="J46" s="52">
        <v>157.01439999999999</v>
      </c>
      <c r="K46" s="52">
        <v>471.04309999999998</v>
      </c>
      <c r="L46" s="52">
        <v>157.01439999999999</v>
      </c>
      <c r="M46" s="52">
        <v>157.01439999999999</v>
      </c>
      <c r="N46" s="5" t="s">
        <v>69</v>
      </c>
    </row>
    <row r="47" spans="1:14" x14ac:dyDescent="0.25">
      <c r="A47" s="51">
        <v>0.83599999999999997</v>
      </c>
      <c r="B47" s="52">
        <v>1572.0242000000001</v>
      </c>
      <c r="C47" s="52">
        <v>78.601200000000006</v>
      </c>
      <c r="D47" s="52">
        <v>39.300600000000003</v>
      </c>
      <c r="E47" s="52">
        <v>39.300600000000003</v>
      </c>
      <c r="F47" s="52">
        <v>157.20240000000001</v>
      </c>
      <c r="G47" s="52">
        <v>78.601200000000006</v>
      </c>
      <c r="H47" s="52">
        <v>78.601200000000006</v>
      </c>
      <c r="I47" s="52">
        <v>157.20240000000001</v>
      </c>
      <c r="J47" s="52">
        <v>157.20240000000001</v>
      </c>
      <c r="K47" s="52">
        <v>471.60719999999998</v>
      </c>
      <c r="L47" s="52">
        <v>157.20240000000001</v>
      </c>
      <c r="M47" s="52">
        <v>157.20240000000001</v>
      </c>
      <c r="N47" s="5" t="s">
        <v>69</v>
      </c>
    </row>
    <row r="48" spans="1:14" x14ac:dyDescent="0.25">
      <c r="A48" s="51">
        <v>0.83699999999999997</v>
      </c>
      <c r="B48" s="52">
        <v>1573.9046000000001</v>
      </c>
      <c r="C48" s="52">
        <v>78.6952</v>
      </c>
      <c r="D48" s="52">
        <v>39.3476</v>
      </c>
      <c r="E48" s="52">
        <v>39.3476</v>
      </c>
      <c r="F48" s="52">
        <v>157.3905</v>
      </c>
      <c r="G48" s="52">
        <v>78.6952</v>
      </c>
      <c r="H48" s="52">
        <v>78.6952</v>
      </c>
      <c r="I48" s="52">
        <v>157.3905</v>
      </c>
      <c r="J48" s="52">
        <v>157.3905</v>
      </c>
      <c r="K48" s="52">
        <v>472.17140000000001</v>
      </c>
      <c r="L48" s="52">
        <v>157.3905</v>
      </c>
      <c r="M48" s="52">
        <v>157.3905</v>
      </c>
      <c r="N48" s="5" t="s">
        <v>69</v>
      </c>
    </row>
    <row r="49" spans="1:14" x14ac:dyDescent="0.25">
      <c r="A49" s="51">
        <v>0.83799999999999997</v>
      </c>
      <c r="B49" s="52">
        <v>1575.7850000000001</v>
      </c>
      <c r="C49" s="52">
        <v>78.789199999999994</v>
      </c>
      <c r="D49" s="52">
        <v>39.394599999999997</v>
      </c>
      <c r="E49" s="52">
        <v>39.394599999999997</v>
      </c>
      <c r="F49" s="52">
        <v>157.57849999999999</v>
      </c>
      <c r="G49" s="52">
        <v>78.789199999999994</v>
      </c>
      <c r="H49" s="52">
        <v>78.789199999999994</v>
      </c>
      <c r="I49" s="52">
        <v>157.57849999999999</v>
      </c>
      <c r="J49" s="52">
        <v>157.57849999999999</v>
      </c>
      <c r="K49" s="52">
        <v>472.7355</v>
      </c>
      <c r="L49" s="52">
        <v>157.57849999999999</v>
      </c>
      <c r="M49" s="52">
        <v>157.57849999999999</v>
      </c>
      <c r="N49" s="5" t="s">
        <v>69</v>
      </c>
    </row>
    <row r="50" spans="1:14" x14ac:dyDescent="0.25">
      <c r="A50" s="51">
        <v>0.83899999999999997</v>
      </c>
      <c r="B50" s="52">
        <v>1577.6654000000001</v>
      </c>
      <c r="C50" s="52">
        <v>78.883300000000006</v>
      </c>
      <c r="D50" s="52">
        <v>39.441600000000001</v>
      </c>
      <c r="E50" s="52">
        <v>39.441600000000001</v>
      </c>
      <c r="F50" s="52">
        <v>157.76650000000001</v>
      </c>
      <c r="G50" s="52">
        <v>78.883300000000006</v>
      </c>
      <c r="H50" s="52">
        <v>78.883300000000006</v>
      </c>
      <c r="I50" s="52">
        <v>157.76650000000001</v>
      </c>
      <c r="J50" s="52">
        <v>157.76650000000001</v>
      </c>
      <c r="K50" s="52">
        <v>473.2996</v>
      </c>
      <c r="L50" s="52">
        <v>157.76650000000001</v>
      </c>
      <c r="M50" s="52">
        <v>157.76650000000001</v>
      </c>
      <c r="N50" s="5" t="s">
        <v>69</v>
      </c>
    </row>
    <row r="51" spans="1:14" x14ac:dyDescent="0.25">
      <c r="A51" s="51">
        <v>0.84</v>
      </c>
      <c r="B51" s="52">
        <v>1579.5458000000001</v>
      </c>
      <c r="C51" s="52">
        <v>78.9773</v>
      </c>
      <c r="D51" s="52">
        <v>39.488599999999998</v>
      </c>
      <c r="E51" s="52">
        <v>39.488599999999998</v>
      </c>
      <c r="F51" s="52">
        <v>157.9546</v>
      </c>
      <c r="G51" s="52">
        <v>78.9773</v>
      </c>
      <c r="H51" s="52">
        <v>78.9773</v>
      </c>
      <c r="I51" s="52">
        <v>157.9546</v>
      </c>
      <c r="J51" s="52">
        <v>157.9546</v>
      </c>
      <c r="K51" s="52">
        <v>473.86369999999999</v>
      </c>
      <c r="L51" s="52">
        <v>157.9546</v>
      </c>
      <c r="M51" s="52">
        <v>157.9546</v>
      </c>
      <c r="N51" s="5" t="s">
        <v>69</v>
      </c>
    </row>
    <row r="52" spans="1:14" x14ac:dyDescent="0.25">
      <c r="A52" s="51">
        <v>0.84099999999999997</v>
      </c>
      <c r="B52" s="52">
        <v>1581.4262000000001</v>
      </c>
      <c r="C52" s="52">
        <v>79.071299999999994</v>
      </c>
      <c r="D52" s="52">
        <v>39.535699999999999</v>
      </c>
      <c r="E52" s="52">
        <v>39.535699999999999</v>
      </c>
      <c r="F52" s="52">
        <v>158.14259999999999</v>
      </c>
      <c r="G52" s="52">
        <v>79.071299999999994</v>
      </c>
      <c r="H52" s="52">
        <v>79.071299999999994</v>
      </c>
      <c r="I52" s="52">
        <v>158.14259999999999</v>
      </c>
      <c r="J52" s="52">
        <v>158.14259999999999</v>
      </c>
      <c r="K52" s="52">
        <v>474.42790000000002</v>
      </c>
      <c r="L52" s="52">
        <v>158.14259999999999</v>
      </c>
      <c r="M52" s="52">
        <v>158.14259999999999</v>
      </c>
      <c r="N52" s="5" t="s">
        <v>69</v>
      </c>
    </row>
    <row r="53" spans="1:14" x14ac:dyDescent="0.25">
      <c r="A53" s="51">
        <v>0.84199999999999997</v>
      </c>
      <c r="B53" s="52">
        <v>1583.3065999999999</v>
      </c>
      <c r="C53" s="52">
        <v>79.165300000000002</v>
      </c>
      <c r="D53" s="52">
        <v>39.582700000000003</v>
      </c>
      <c r="E53" s="52">
        <v>39.582700000000003</v>
      </c>
      <c r="F53" s="52">
        <v>158.33070000000001</v>
      </c>
      <c r="G53" s="52">
        <v>79.165300000000002</v>
      </c>
      <c r="H53" s="52">
        <v>79.165300000000002</v>
      </c>
      <c r="I53" s="52">
        <v>158.33070000000001</v>
      </c>
      <c r="J53" s="52">
        <v>158.33070000000001</v>
      </c>
      <c r="K53" s="52">
        <v>474.99200000000002</v>
      </c>
      <c r="L53" s="52">
        <v>158.33070000000001</v>
      </c>
      <c r="M53" s="52">
        <v>158.33070000000001</v>
      </c>
      <c r="N53" s="5" t="s">
        <v>69</v>
      </c>
    </row>
    <row r="54" spans="1:14" x14ac:dyDescent="0.25">
      <c r="A54" s="51">
        <v>0.84299999999999997</v>
      </c>
      <c r="B54" s="52">
        <v>1585.1869999999999</v>
      </c>
      <c r="C54" s="52">
        <v>79.259399999999999</v>
      </c>
      <c r="D54" s="52">
        <v>39.6297</v>
      </c>
      <c r="E54" s="52">
        <v>39.6297</v>
      </c>
      <c r="F54" s="52">
        <v>158.5187</v>
      </c>
      <c r="G54" s="52">
        <v>79.259399999999999</v>
      </c>
      <c r="H54" s="52">
        <v>79.259399999999999</v>
      </c>
      <c r="I54" s="52">
        <v>158.5187</v>
      </c>
      <c r="J54" s="52">
        <v>158.5187</v>
      </c>
      <c r="K54" s="52">
        <v>475.55610000000001</v>
      </c>
      <c r="L54" s="52">
        <v>158.5187</v>
      </c>
      <c r="M54" s="52">
        <v>158.5187</v>
      </c>
      <c r="N54" s="5" t="s">
        <v>69</v>
      </c>
    </row>
    <row r="55" spans="1:14" x14ac:dyDescent="0.25">
      <c r="A55" s="51">
        <v>0.84399999999999997</v>
      </c>
      <c r="B55" s="52">
        <v>1587.0673999999999</v>
      </c>
      <c r="C55" s="52">
        <v>79.353399999999993</v>
      </c>
      <c r="D55" s="52">
        <v>39.676699999999997</v>
      </c>
      <c r="E55" s="52">
        <v>39.676699999999997</v>
      </c>
      <c r="F55" s="52">
        <v>158.70670000000001</v>
      </c>
      <c r="G55" s="52">
        <v>79.353399999999993</v>
      </c>
      <c r="H55" s="52">
        <v>79.353399999999993</v>
      </c>
      <c r="I55" s="52">
        <v>158.70670000000001</v>
      </c>
      <c r="J55" s="52">
        <v>158.70670000000001</v>
      </c>
      <c r="K55" s="52">
        <v>476.12020000000001</v>
      </c>
      <c r="L55" s="52">
        <v>158.70670000000001</v>
      </c>
      <c r="M55" s="52">
        <v>158.70670000000001</v>
      </c>
      <c r="N55" s="5" t="s">
        <v>69</v>
      </c>
    </row>
    <row r="56" spans="1:14" x14ac:dyDescent="0.25">
      <c r="A56" s="51">
        <v>0.84499999999999997</v>
      </c>
      <c r="B56" s="52">
        <v>1588.9478999999999</v>
      </c>
      <c r="C56" s="52">
        <v>79.447400000000002</v>
      </c>
      <c r="D56" s="52">
        <v>39.723700000000001</v>
      </c>
      <c r="E56" s="52">
        <v>39.723700000000001</v>
      </c>
      <c r="F56" s="52">
        <v>158.8948</v>
      </c>
      <c r="G56" s="52">
        <v>79.447400000000002</v>
      </c>
      <c r="H56" s="52">
        <v>79.447400000000002</v>
      </c>
      <c r="I56" s="52">
        <v>158.8948</v>
      </c>
      <c r="J56" s="52">
        <v>158.8948</v>
      </c>
      <c r="K56" s="52">
        <v>476.68439999999998</v>
      </c>
      <c r="L56" s="52">
        <v>158.8948</v>
      </c>
      <c r="M56" s="52">
        <v>158.8948</v>
      </c>
      <c r="N56" s="5" t="s">
        <v>69</v>
      </c>
    </row>
    <row r="57" spans="1:14" x14ac:dyDescent="0.25">
      <c r="A57" s="51">
        <v>0.84599999999999997</v>
      </c>
      <c r="B57" s="52">
        <v>1590.8282999999999</v>
      </c>
      <c r="C57" s="52">
        <v>79.541399999999996</v>
      </c>
      <c r="D57" s="52">
        <v>39.770699999999998</v>
      </c>
      <c r="E57" s="52">
        <v>39.770699999999998</v>
      </c>
      <c r="F57" s="52">
        <v>159.08279999999999</v>
      </c>
      <c r="G57" s="52">
        <v>79.541399999999996</v>
      </c>
      <c r="H57" s="52">
        <v>79.541399999999996</v>
      </c>
      <c r="I57" s="52">
        <v>159.08279999999999</v>
      </c>
      <c r="J57" s="52">
        <v>159.08279999999999</v>
      </c>
      <c r="K57" s="52">
        <v>477.24849999999998</v>
      </c>
      <c r="L57" s="52">
        <v>159.08279999999999</v>
      </c>
      <c r="M57" s="52">
        <v>159.08279999999999</v>
      </c>
      <c r="N57" s="5" t="s">
        <v>69</v>
      </c>
    </row>
    <row r="58" spans="1:14" x14ac:dyDescent="0.25">
      <c r="A58" s="51">
        <v>0.84699999999999998</v>
      </c>
      <c r="B58" s="52">
        <v>1592.7086999999999</v>
      </c>
      <c r="C58" s="52">
        <v>79.635400000000004</v>
      </c>
      <c r="D58" s="52">
        <v>39.817700000000002</v>
      </c>
      <c r="E58" s="52">
        <v>39.817700000000002</v>
      </c>
      <c r="F58" s="52">
        <v>159.27090000000001</v>
      </c>
      <c r="G58" s="52">
        <v>79.635400000000004</v>
      </c>
      <c r="H58" s="52">
        <v>79.635400000000004</v>
      </c>
      <c r="I58" s="52">
        <v>159.27090000000001</v>
      </c>
      <c r="J58" s="52">
        <v>159.27090000000001</v>
      </c>
      <c r="K58" s="52">
        <v>477.81259999999997</v>
      </c>
      <c r="L58" s="52">
        <v>159.27090000000001</v>
      </c>
      <c r="M58" s="52">
        <v>159.27090000000001</v>
      </c>
      <c r="N58" s="5" t="s">
        <v>69</v>
      </c>
    </row>
    <row r="59" spans="1:14" x14ac:dyDescent="0.25">
      <c r="A59" s="51">
        <v>0.84799999999999998</v>
      </c>
      <c r="B59" s="52">
        <v>1594.5890999999999</v>
      </c>
      <c r="C59" s="52">
        <v>79.729500000000002</v>
      </c>
      <c r="D59" s="52">
        <v>39.864699999999999</v>
      </c>
      <c r="E59" s="52">
        <v>39.864699999999999</v>
      </c>
      <c r="F59" s="52">
        <v>159.4589</v>
      </c>
      <c r="G59" s="52">
        <v>79.729500000000002</v>
      </c>
      <c r="H59" s="52">
        <v>79.729500000000002</v>
      </c>
      <c r="I59" s="52">
        <v>159.4589</v>
      </c>
      <c r="J59" s="52">
        <v>159.4589</v>
      </c>
      <c r="K59" s="52">
        <v>478.37670000000003</v>
      </c>
      <c r="L59" s="52">
        <v>159.4589</v>
      </c>
      <c r="M59" s="52">
        <v>159.4589</v>
      </c>
      <c r="N59" s="5" t="s">
        <v>69</v>
      </c>
    </row>
    <row r="60" spans="1:14" x14ac:dyDescent="0.25">
      <c r="A60" s="51">
        <v>0.84899999999999998</v>
      </c>
      <c r="B60" s="52">
        <v>1596.4694999999999</v>
      </c>
      <c r="C60" s="52">
        <v>79.823499999999996</v>
      </c>
      <c r="D60" s="52">
        <v>39.911700000000003</v>
      </c>
      <c r="E60" s="52">
        <v>39.911700000000003</v>
      </c>
      <c r="F60" s="52">
        <v>159.64699999999999</v>
      </c>
      <c r="G60" s="52">
        <v>79.823499999999996</v>
      </c>
      <c r="H60" s="52">
        <v>79.823499999999996</v>
      </c>
      <c r="I60" s="52">
        <v>159.64699999999999</v>
      </c>
      <c r="J60" s="52">
        <v>159.64699999999999</v>
      </c>
      <c r="K60" s="52">
        <v>478.9409</v>
      </c>
      <c r="L60" s="52">
        <v>159.64699999999999</v>
      </c>
      <c r="M60" s="52">
        <v>159.64699999999999</v>
      </c>
      <c r="N60" s="5" t="s">
        <v>69</v>
      </c>
    </row>
    <row r="61" spans="1:14" x14ac:dyDescent="0.25">
      <c r="A61" s="51">
        <v>0.85</v>
      </c>
      <c r="B61" s="52">
        <v>1598.3498999999999</v>
      </c>
      <c r="C61" s="52">
        <v>79.917500000000004</v>
      </c>
      <c r="D61" s="52">
        <v>39.9587</v>
      </c>
      <c r="E61" s="52">
        <v>39.9587</v>
      </c>
      <c r="F61" s="52">
        <v>159.83500000000001</v>
      </c>
      <c r="G61" s="52">
        <v>79.917500000000004</v>
      </c>
      <c r="H61" s="52">
        <v>79.917500000000004</v>
      </c>
      <c r="I61" s="52">
        <v>159.83500000000001</v>
      </c>
      <c r="J61" s="52">
        <v>159.83500000000001</v>
      </c>
      <c r="K61" s="52">
        <v>479.505</v>
      </c>
      <c r="L61" s="52">
        <v>159.83500000000001</v>
      </c>
      <c r="M61" s="52">
        <v>159.83500000000001</v>
      </c>
      <c r="N61" s="5" t="s">
        <v>69</v>
      </c>
    </row>
    <row r="62" spans="1:14" x14ac:dyDescent="0.25">
      <c r="A62" s="51">
        <v>0.85099999999999998</v>
      </c>
      <c r="B62" s="52">
        <v>1600.2302999999999</v>
      </c>
      <c r="C62" s="52">
        <v>80.011499999999998</v>
      </c>
      <c r="D62" s="52">
        <v>40.005800000000001</v>
      </c>
      <c r="E62" s="52">
        <v>40.005800000000001</v>
      </c>
      <c r="F62" s="52">
        <v>160.023</v>
      </c>
      <c r="G62" s="52">
        <v>80.011499999999998</v>
      </c>
      <c r="H62" s="52">
        <v>80.011499999999998</v>
      </c>
      <c r="I62" s="52">
        <v>160.023</v>
      </c>
      <c r="J62" s="52">
        <v>160.023</v>
      </c>
      <c r="K62" s="52">
        <v>480.06909999999999</v>
      </c>
      <c r="L62" s="52">
        <v>160.023</v>
      </c>
      <c r="M62" s="52">
        <v>160.023</v>
      </c>
      <c r="N62" s="5" t="s">
        <v>69</v>
      </c>
    </row>
    <row r="63" spans="1:14" x14ac:dyDescent="0.25">
      <c r="A63" s="51">
        <v>0.85199999999999998</v>
      </c>
      <c r="B63" s="52">
        <v>1602.1107</v>
      </c>
      <c r="C63" s="52">
        <v>80.105500000000006</v>
      </c>
      <c r="D63" s="52">
        <v>40.052799999999998</v>
      </c>
      <c r="E63" s="52">
        <v>40.052799999999998</v>
      </c>
      <c r="F63" s="52">
        <v>160.21109999999999</v>
      </c>
      <c r="G63" s="52">
        <v>80.105500000000006</v>
      </c>
      <c r="H63" s="52">
        <v>80.105500000000006</v>
      </c>
      <c r="I63" s="52">
        <v>160.21109999999999</v>
      </c>
      <c r="J63" s="52">
        <v>160.21109999999999</v>
      </c>
      <c r="K63" s="52">
        <v>480.63319999999999</v>
      </c>
      <c r="L63" s="52">
        <v>160.21109999999999</v>
      </c>
      <c r="M63" s="52">
        <v>160.21109999999999</v>
      </c>
      <c r="N63" s="5" t="s">
        <v>69</v>
      </c>
    </row>
    <row r="64" spans="1:14" x14ac:dyDescent="0.25">
      <c r="A64" s="51">
        <v>0.85299999999999998</v>
      </c>
      <c r="B64" s="52">
        <v>1603.9911</v>
      </c>
      <c r="C64" s="52">
        <v>80.199600000000004</v>
      </c>
      <c r="D64" s="52">
        <v>40.099800000000002</v>
      </c>
      <c r="E64" s="52">
        <v>40.099800000000002</v>
      </c>
      <c r="F64" s="52">
        <v>160.3991</v>
      </c>
      <c r="G64" s="52">
        <v>80.199600000000004</v>
      </c>
      <c r="H64" s="52">
        <v>80.199600000000004</v>
      </c>
      <c r="I64" s="52">
        <v>160.3991</v>
      </c>
      <c r="J64" s="52">
        <v>160.3991</v>
      </c>
      <c r="K64" s="52">
        <v>481.19729999999998</v>
      </c>
      <c r="L64" s="52">
        <v>160.3991</v>
      </c>
      <c r="M64" s="52">
        <v>160.3991</v>
      </c>
      <c r="N64" s="5" t="s">
        <v>69</v>
      </c>
    </row>
    <row r="65" spans="1:14" x14ac:dyDescent="0.25">
      <c r="A65" s="51">
        <v>0.85399999999999998</v>
      </c>
      <c r="B65" s="52">
        <v>1605.8715999999999</v>
      </c>
      <c r="C65" s="52">
        <v>80.293599999999998</v>
      </c>
      <c r="D65" s="52">
        <v>40.146799999999999</v>
      </c>
      <c r="E65" s="52">
        <v>40.146799999999999</v>
      </c>
      <c r="F65" s="52">
        <v>160.5872</v>
      </c>
      <c r="G65" s="52">
        <v>80.293599999999998</v>
      </c>
      <c r="H65" s="52">
        <v>80.293599999999998</v>
      </c>
      <c r="I65" s="52">
        <v>160.5872</v>
      </c>
      <c r="J65" s="52">
        <v>160.5872</v>
      </c>
      <c r="K65" s="52">
        <v>481.76150000000001</v>
      </c>
      <c r="L65" s="52">
        <v>160.5872</v>
      </c>
      <c r="M65" s="52">
        <v>160.5872</v>
      </c>
      <c r="N65" s="5" t="s">
        <v>69</v>
      </c>
    </row>
    <row r="66" spans="1:14" x14ac:dyDescent="0.25">
      <c r="A66" s="51">
        <v>0.85499999999999998</v>
      </c>
      <c r="B66" s="52">
        <v>1607.752</v>
      </c>
      <c r="C66" s="52">
        <v>80.387600000000006</v>
      </c>
      <c r="D66" s="52">
        <v>40.193800000000003</v>
      </c>
      <c r="E66" s="52">
        <v>40.193800000000003</v>
      </c>
      <c r="F66" s="52">
        <v>160.77520000000001</v>
      </c>
      <c r="G66" s="52">
        <v>80.387600000000006</v>
      </c>
      <c r="H66" s="52">
        <v>80.387600000000006</v>
      </c>
      <c r="I66" s="52">
        <v>160.77520000000001</v>
      </c>
      <c r="J66" s="52">
        <v>160.77520000000001</v>
      </c>
      <c r="K66" s="52">
        <v>482.32560000000001</v>
      </c>
      <c r="L66" s="52">
        <v>160.77520000000001</v>
      </c>
      <c r="M66" s="52">
        <v>160.77520000000001</v>
      </c>
      <c r="N66" s="5" t="s">
        <v>69</v>
      </c>
    </row>
    <row r="67" spans="1:14" x14ac:dyDescent="0.25">
      <c r="A67" s="51">
        <v>0.85599999999999998</v>
      </c>
      <c r="B67" s="52">
        <v>1609.6324</v>
      </c>
      <c r="C67" s="52">
        <v>80.4816</v>
      </c>
      <c r="D67" s="52">
        <v>40.2408</v>
      </c>
      <c r="E67" s="52">
        <v>40.2408</v>
      </c>
      <c r="F67" s="52">
        <v>160.9632</v>
      </c>
      <c r="G67" s="52">
        <v>80.4816</v>
      </c>
      <c r="H67" s="52">
        <v>80.4816</v>
      </c>
      <c r="I67" s="52">
        <v>160.9632</v>
      </c>
      <c r="J67" s="52">
        <v>160.9632</v>
      </c>
      <c r="K67" s="52">
        <v>482.8897</v>
      </c>
      <c r="L67" s="52">
        <v>160.9632</v>
      </c>
      <c r="M67" s="52">
        <v>160.9632</v>
      </c>
      <c r="N67" s="5" t="s">
        <v>69</v>
      </c>
    </row>
    <row r="68" spans="1:14" x14ac:dyDescent="0.25">
      <c r="A68" s="51">
        <v>0.85699999999999998</v>
      </c>
      <c r="B68" s="52">
        <v>1611.5128</v>
      </c>
      <c r="C68" s="52">
        <v>80.575599999999994</v>
      </c>
      <c r="D68" s="52">
        <v>40.287799999999997</v>
      </c>
      <c r="E68" s="52">
        <v>40.287799999999997</v>
      </c>
      <c r="F68" s="52">
        <v>161.15129999999999</v>
      </c>
      <c r="G68" s="52">
        <v>80.575599999999994</v>
      </c>
      <c r="H68" s="52">
        <v>80.575599999999994</v>
      </c>
      <c r="I68" s="52">
        <v>161.15129999999999</v>
      </c>
      <c r="J68" s="52">
        <v>161.15129999999999</v>
      </c>
      <c r="K68" s="52">
        <v>483.4538</v>
      </c>
      <c r="L68" s="52">
        <v>161.15129999999999</v>
      </c>
      <c r="M68" s="52">
        <v>161.15129999999999</v>
      </c>
      <c r="N68" s="5" t="s">
        <v>69</v>
      </c>
    </row>
    <row r="69" spans="1:14" x14ac:dyDescent="0.25">
      <c r="A69" s="51">
        <v>0.85799999999999998</v>
      </c>
      <c r="B69" s="52">
        <v>1613.3932</v>
      </c>
      <c r="C69" s="52">
        <v>80.669700000000006</v>
      </c>
      <c r="D69" s="52">
        <v>40.334800000000001</v>
      </c>
      <c r="E69" s="52">
        <v>40.334800000000001</v>
      </c>
      <c r="F69" s="52">
        <v>161.33930000000001</v>
      </c>
      <c r="G69" s="52">
        <v>80.669700000000006</v>
      </c>
      <c r="H69" s="52">
        <v>80.669700000000006</v>
      </c>
      <c r="I69" s="52">
        <v>161.33930000000001</v>
      </c>
      <c r="J69" s="52">
        <v>161.33930000000001</v>
      </c>
      <c r="K69" s="52">
        <v>484.01799999999997</v>
      </c>
      <c r="L69" s="52">
        <v>161.33930000000001</v>
      </c>
      <c r="M69" s="52">
        <v>161.33930000000001</v>
      </c>
      <c r="N69" s="5" t="s">
        <v>69</v>
      </c>
    </row>
    <row r="70" spans="1:14" x14ac:dyDescent="0.25">
      <c r="A70" s="51">
        <v>0.85899999999999999</v>
      </c>
      <c r="B70" s="52">
        <v>1615.2736</v>
      </c>
      <c r="C70" s="52">
        <v>80.7637</v>
      </c>
      <c r="D70" s="52">
        <v>40.381799999999998</v>
      </c>
      <c r="E70" s="52">
        <v>40.381799999999998</v>
      </c>
      <c r="F70" s="52">
        <v>161.5274</v>
      </c>
      <c r="G70" s="52">
        <v>80.7637</v>
      </c>
      <c r="H70" s="52">
        <v>80.7637</v>
      </c>
      <c r="I70" s="52">
        <v>161.5274</v>
      </c>
      <c r="J70" s="52">
        <v>161.5274</v>
      </c>
      <c r="K70" s="52">
        <v>484.58210000000003</v>
      </c>
      <c r="L70" s="52">
        <v>161.5274</v>
      </c>
      <c r="M70" s="52">
        <v>161.5274</v>
      </c>
      <c r="N70" s="5" t="s">
        <v>69</v>
      </c>
    </row>
    <row r="71" spans="1:14" x14ac:dyDescent="0.25">
      <c r="A71" s="51">
        <v>0.86</v>
      </c>
      <c r="B71" s="52">
        <v>1617.154</v>
      </c>
      <c r="C71" s="52">
        <v>80.857699999999994</v>
      </c>
      <c r="D71" s="52">
        <v>40.428899999999999</v>
      </c>
      <c r="E71" s="52">
        <v>40.428899999999999</v>
      </c>
      <c r="F71" s="52">
        <v>161.71539999999999</v>
      </c>
      <c r="G71" s="52">
        <v>80.857699999999994</v>
      </c>
      <c r="H71" s="52">
        <v>80.857699999999994</v>
      </c>
      <c r="I71" s="52">
        <v>161.71539999999999</v>
      </c>
      <c r="J71" s="52">
        <v>161.71539999999999</v>
      </c>
      <c r="K71" s="52">
        <v>485.14620000000002</v>
      </c>
      <c r="L71" s="52">
        <v>161.71539999999999</v>
      </c>
      <c r="M71" s="52">
        <v>161.71539999999999</v>
      </c>
      <c r="N71" s="5" t="s">
        <v>69</v>
      </c>
    </row>
    <row r="72" spans="1:14" x14ac:dyDescent="0.25">
      <c r="A72" s="51">
        <v>0.86099999999999999</v>
      </c>
      <c r="B72" s="52">
        <v>1619.0344</v>
      </c>
      <c r="C72" s="52">
        <v>80.951700000000002</v>
      </c>
      <c r="D72" s="52">
        <v>40.475900000000003</v>
      </c>
      <c r="E72" s="52">
        <v>40.475900000000003</v>
      </c>
      <c r="F72" s="52">
        <v>161.9034</v>
      </c>
      <c r="G72" s="52">
        <v>80.951700000000002</v>
      </c>
      <c r="H72" s="52">
        <v>80.951700000000002</v>
      </c>
      <c r="I72" s="52">
        <v>161.9034</v>
      </c>
      <c r="J72" s="52">
        <v>161.9034</v>
      </c>
      <c r="K72" s="52">
        <v>485.71030000000002</v>
      </c>
      <c r="L72" s="52">
        <v>161.9034</v>
      </c>
      <c r="M72" s="52">
        <v>161.9034</v>
      </c>
      <c r="N72" s="5" t="s">
        <v>69</v>
      </c>
    </row>
    <row r="73" spans="1:14" x14ac:dyDescent="0.25">
      <c r="A73" s="51">
        <v>0.86199999999999999</v>
      </c>
      <c r="B73" s="52">
        <v>1620.9149</v>
      </c>
      <c r="C73" s="52">
        <v>81.045699999999997</v>
      </c>
      <c r="D73" s="52">
        <v>40.5229</v>
      </c>
      <c r="E73" s="52">
        <v>40.5229</v>
      </c>
      <c r="F73" s="52">
        <v>162.0915</v>
      </c>
      <c r="G73" s="52">
        <v>81.045699999999997</v>
      </c>
      <c r="H73" s="52">
        <v>81.045699999999997</v>
      </c>
      <c r="I73" s="52">
        <v>162.0915</v>
      </c>
      <c r="J73" s="52">
        <v>162.0915</v>
      </c>
      <c r="K73" s="52">
        <v>486.27449999999999</v>
      </c>
      <c r="L73" s="52">
        <v>162.0915</v>
      </c>
      <c r="M73" s="52">
        <v>162.0915</v>
      </c>
      <c r="N73" s="5" t="s">
        <v>69</v>
      </c>
    </row>
    <row r="74" spans="1:14" x14ac:dyDescent="0.25">
      <c r="A74" s="51">
        <v>0.86299999999999999</v>
      </c>
      <c r="B74" s="52">
        <v>1622.7953</v>
      </c>
      <c r="C74" s="52">
        <v>81.139799999999994</v>
      </c>
      <c r="D74" s="52">
        <v>40.569899999999997</v>
      </c>
      <c r="E74" s="52">
        <v>40.569899999999997</v>
      </c>
      <c r="F74" s="52">
        <v>162.27950000000001</v>
      </c>
      <c r="G74" s="52">
        <v>81.139799999999994</v>
      </c>
      <c r="H74" s="52">
        <v>81.139799999999994</v>
      </c>
      <c r="I74" s="52">
        <v>162.27950000000001</v>
      </c>
      <c r="J74" s="52">
        <v>162.27950000000001</v>
      </c>
      <c r="K74" s="52">
        <v>486.83859999999999</v>
      </c>
      <c r="L74" s="52">
        <v>162.27950000000001</v>
      </c>
      <c r="M74" s="52">
        <v>162.27950000000001</v>
      </c>
      <c r="N74" s="5" t="s">
        <v>69</v>
      </c>
    </row>
    <row r="75" spans="1:14" x14ac:dyDescent="0.25">
      <c r="A75" s="51">
        <v>0.86399999999999999</v>
      </c>
      <c r="B75" s="52">
        <v>1624.6757</v>
      </c>
      <c r="C75" s="52">
        <v>81.233800000000002</v>
      </c>
      <c r="D75" s="52">
        <v>40.616900000000001</v>
      </c>
      <c r="E75" s="52">
        <v>40.616900000000001</v>
      </c>
      <c r="F75" s="52">
        <v>162.4676</v>
      </c>
      <c r="G75" s="52">
        <v>81.233800000000002</v>
      </c>
      <c r="H75" s="52">
        <v>81.233800000000002</v>
      </c>
      <c r="I75" s="52">
        <v>162.4676</v>
      </c>
      <c r="J75" s="52">
        <v>162.4676</v>
      </c>
      <c r="K75" s="52">
        <v>487.40269999999998</v>
      </c>
      <c r="L75" s="52">
        <v>162.4676</v>
      </c>
      <c r="M75" s="52">
        <v>162.4676</v>
      </c>
      <c r="N75" s="5" t="s">
        <v>69</v>
      </c>
    </row>
    <row r="76" spans="1:14" x14ac:dyDescent="0.25">
      <c r="A76" s="51">
        <v>0.86499999999999999</v>
      </c>
      <c r="B76" s="52">
        <v>1626.5561</v>
      </c>
      <c r="C76" s="52">
        <v>81.327799999999996</v>
      </c>
      <c r="D76" s="52">
        <v>40.663899999999998</v>
      </c>
      <c r="E76" s="52">
        <v>40.663899999999998</v>
      </c>
      <c r="F76" s="52">
        <v>162.65559999999999</v>
      </c>
      <c r="G76" s="52">
        <v>81.327799999999996</v>
      </c>
      <c r="H76" s="52">
        <v>81.327799999999996</v>
      </c>
      <c r="I76" s="52">
        <v>162.65559999999999</v>
      </c>
      <c r="J76" s="52">
        <v>162.65559999999999</v>
      </c>
      <c r="K76" s="52">
        <v>487.96679999999998</v>
      </c>
      <c r="L76" s="52">
        <v>162.65559999999999</v>
      </c>
      <c r="M76" s="52">
        <v>162.65559999999999</v>
      </c>
      <c r="N76" s="5" t="s">
        <v>69</v>
      </c>
    </row>
    <row r="77" spans="1:14" x14ac:dyDescent="0.25">
      <c r="A77" s="51">
        <v>0.86599999999999999</v>
      </c>
      <c r="B77" s="52">
        <v>1628.4365</v>
      </c>
      <c r="C77" s="52">
        <v>81.421800000000005</v>
      </c>
      <c r="D77" s="52">
        <v>40.710900000000002</v>
      </c>
      <c r="E77" s="52">
        <v>40.710900000000002</v>
      </c>
      <c r="F77" s="52">
        <v>162.84370000000001</v>
      </c>
      <c r="G77" s="52">
        <v>81.421800000000005</v>
      </c>
      <c r="H77" s="52">
        <v>81.421800000000005</v>
      </c>
      <c r="I77" s="52">
        <v>162.84370000000001</v>
      </c>
      <c r="J77" s="52">
        <v>162.84370000000001</v>
      </c>
      <c r="K77" s="52">
        <v>488.53089999999997</v>
      </c>
      <c r="L77" s="52">
        <v>162.84370000000001</v>
      </c>
      <c r="M77" s="52">
        <v>162.84370000000001</v>
      </c>
      <c r="N77" s="5" t="s">
        <v>69</v>
      </c>
    </row>
    <row r="78" spans="1:14" x14ac:dyDescent="0.25">
      <c r="A78" s="51">
        <v>0.86699999999999999</v>
      </c>
      <c r="B78" s="52">
        <v>1630.3169</v>
      </c>
      <c r="C78" s="52">
        <v>81.515799999999999</v>
      </c>
      <c r="D78" s="52">
        <v>40.757899999999999</v>
      </c>
      <c r="E78" s="52">
        <v>40.757899999999999</v>
      </c>
      <c r="F78" s="52">
        <v>163.0317</v>
      </c>
      <c r="G78" s="52">
        <v>81.515799999999999</v>
      </c>
      <c r="H78" s="52">
        <v>81.515799999999999</v>
      </c>
      <c r="I78" s="52">
        <v>163.0317</v>
      </c>
      <c r="J78" s="52">
        <v>163.0317</v>
      </c>
      <c r="K78" s="52">
        <v>489.0951</v>
      </c>
      <c r="L78" s="52">
        <v>163.0317</v>
      </c>
      <c r="M78" s="52">
        <v>163.0317</v>
      </c>
      <c r="N78" s="5" t="s">
        <v>69</v>
      </c>
    </row>
    <row r="79" spans="1:14" x14ac:dyDescent="0.25">
      <c r="A79" s="51">
        <v>0.86799999999999999</v>
      </c>
      <c r="B79" s="52">
        <v>1632.1973</v>
      </c>
      <c r="C79" s="52">
        <v>81.609899999999996</v>
      </c>
      <c r="D79" s="52">
        <v>40.804900000000004</v>
      </c>
      <c r="E79" s="52">
        <v>40.804900000000004</v>
      </c>
      <c r="F79" s="52">
        <v>163.21969999999999</v>
      </c>
      <c r="G79" s="52">
        <v>81.609899999999996</v>
      </c>
      <c r="H79" s="52">
        <v>81.609899999999996</v>
      </c>
      <c r="I79" s="52">
        <v>163.21969999999999</v>
      </c>
      <c r="J79" s="52">
        <v>163.21969999999999</v>
      </c>
      <c r="K79" s="52">
        <v>489.6592</v>
      </c>
      <c r="L79" s="52">
        <v>163.21969999999999</v>
      </c>
      <c r="M79" s="52">
        <v>163.21969999999999</v>
      </c>
      <c r="N79" s="5" t="s">
        <v>69</v>
      </c>
    </row>
    <row r="80" spans="1:14" x14ac:dyDescent="0.25">
      <c r="A80" s="51">
        <v>0.86899999999999999</v>
      </c>
      <c r="B80" s="52">
        <v>1634.0777</v>
      </c>
      <c r="C80" s="52">
        <v>81.703900000000004</v>
      </c>
      <c r="D80" s="52">
        <v>40.851900000000001</v>
      </c>
      <c r="E80" s="52">
        <v>40.851900000000001</v>
      </c>
      <c r="F80" s="52">
        <v>163.40780000000001</v>
      </c>
      <c r="G80" s="52">
        <v>81.703900000000004</v>
      </c>
      <c r="H80" s="52">
        <v>81.703900000000004</v>
      </c>
      <c r="I80" s="52">
        <v>163.40780000000001</v>
      </c>
      <c r="J80" s="52">
        <v>163.40780000000001</v>
      </c>
      <c r="K80" s="52">
        <v>490.22329999999999</v>
      </c>
      <c r="L80" s="52">
        <v>163.40780000000001</v>
      </c>
      <c r="M80" s="52">
        <v>163.40780000000001</v>
      </c>
      <c r="N80" s="5" t="s">
        <v>69</v>
      </c>
    </row>
    <row r="81" spans="1:14" x14ac:dyDescent="0.25">
      <c r="A81" s="51">
        <v>0.87</v>
      </c>
      <c r="B81" s="52">
        <v>1635.9581000000001</v>
      </c>
      <c r="C81" s="52">
        <v>81.797899999999998</v>
      </c>
      <c r="D81" s="52">
        <v>40.899000000000001</v>
      </c>
      <c r="E81" s="52">
        <v>40.899000000000001</v>
      </c>
      <c r="F81" s="52">
        <v>163.5958</v>
      </c>
      <c r="G81" s="52">
        <v>81.797899999999998</v>
      </c>
      <c r="H81" s="52">
        <v>81.797899999999998</v>
      </c>
      <c r="I81" s="52">
        <v>163.5958</v>
      </c>
      <c r="J81" s="52">
        <v>163.5958</v>
      </c>
      <c r="K81" s="52">
        <v>490.78739999999999</v>
      </c>
      <c r="L81" s="52">
        <v>163.5958</v>
      </c>
      <c r="M81" s="52">
        <v>163.5958</v>
      </c>
      <c r="N81" s="5" t="s">
        <v>69</v>
      </c>
    </row>
    <row r="82" spans="1:14" x14ac:dyDescent="0.25">
      <c r="A82" s="51">
        <v>0.871</v>
      </c>
      <c r="B82" s="52">
        <v>1637.8386</v>
      </c>
      <c r="C82" s="52">
        <v>81.891900000000007</v>
      </c>
      <c r="D82" s="52">
        <v>40.945999999999998</v>
      </c>
      <c r="E82" s="52">
        <v>40.945999999999998</v>
      </c>
      <c r="F82" s="52">
        <v>163.78389999999999</v>
      </c>
      <c r="G82" s="52">
        <v>81.891900000000007</v>
      </c>
      <c r="H82" s="52">
        <v>81.891900000000007</v>
      </c>
      <c r="I82" s="52">
        <v>163.78389999999999</v>
      </c>
      <c r="J82" s="52">
        <v>163.78389999999999</v>
      </c>
      <c r="K82" s="52">
        <v>491.35160000000002</v>
      </c>
      <c r="L82" s="52">
        <v>163.78389999999999</v>
      </c>
      <c r="M82" s="52">
        <v>163.78389999999999</v>
      </c>
      <c r="N82" s="5" t="s">
        <v>69</v>
      </c>
    </row>
    <row r="83" spans="1:14" x14ac:dyDescent="0.25">
      <c r="A83" s="51">
        <v>0.872</v>
      </c>
      <c r="B83" s="52">
        <v>1639.7190000000001</v>
      </c>
      <c r="C83" s="52">
        <v>81.985900000000001</v>
      </c>
      <c r="D83" s="52">
        <v>40.993000000000002</v>
      </c>
      <c r="E83" s="52">
        <v>40.993000000000002</v>
      </c>
      <c r="F83" s="52">
        <v>163.97190000000001</v>
      </c>
      <c r="G83" s="52">
        <v>81.985900000000001</v>
      </c>
      <c r="H83" s="52">
        <v>81.985900000000001</v>
      </c>
      <c r="I83" s="52">
        <v>163.97190000000001</v>
      </c>
      <c r="J83" s="52">
        <v>163.97190000000001</v>
      </c>
      <c r="K83" s="52">
        <v>491.91570000000002</v>
      </c>
      <c r="L83" s="52">
        <v>163.97190000000001</v>
      </c>
      <c r="M83" s="52">
        <v>163.97190000000001</v>
      </c>
      <c r="N83" s="5" t="s">
        <v>69</v>
      </c>
    </row>
    <row r="84" spans="1:14" x14ac:dyDescent="0.25">
      <c r="A84" s="51">
        <v>0.873</v>
      </c>
      <c r="B84" s="52">
        <v>1641.5994000000001</v>
      </c>
      <c r="C84" s="52">
        <v>82.08</v>
      </c>
      <c r="D84" s="52">
        <v>41.04</v>
      </c>
      <c r="E84" s="52">
        <v>41.04</v>
      </c>
      <c r="F84" s="52">
        <v>164.15989999999999</v>
      </c>
      <c r="G84" s="52">
        <v>82.08</v>
      </c>
      <c r="H84" s="52">
        <v>82.08</v>
      </c>
      <c r="I84" s="52">
        <v>164.15989999999999</v>
      </c>
      <c r="J84" s="52">
        <v>164.15989999999999</v>
      </c>
      <c r="K84" s="52">
        <v>492.47980000000001</v>
      </c>
      <c r="L84" s="52">
        <v>164.15989999999999</v>
      </c>
      <c r="M84" s="52">
        <v>164.15989999999999</v>
      </c>
      <c r="N84" s="5" t="s">
        <v>69</v>
      </c>
    </row>
    <row r="85" spans="1:14" x14ac:dyDescent="0.25">
      <c r="A85" s="51">
        <v>0.874</v>
      </c>
      <c r="B85" s="52">
        <v>1643.4798000000001</v>
      </c>
      <c r="C85" s="52">
        <v>82.174000000000007</v>
      </c>
      <c r="D85" s="52">
        <v>41.087000000000003</v>
      </c>
      <c r="E85" s="52">
        <v>41.087000000000003</v>
      </c>
      <c r="F85" s="52">
        <v>164.34800000000001</v>
      </c>
      <c r="G85" s="52">
        <v>82.174000000000007</v>
      </c>
      <c r="H85" s="52">
        <v>82.174000000000007</v>
      </c>
      <c r="I85" s="52">
        <v>164.34800000000001</v>
      </c>
      <c r="J85" s="52">
        <v>164.34800000000001</v>
      </c>
      <c r="K85" s="52">
        <v>493.04390000000001</v>
      </c>
      <c r="L85" s="52">
        <v>164.34800000000001</v>
      </c>
      <c r="M85" s="52">
        <v>164.34800000000001</v>
      </c>
      <c r="N85" s="5" t="s">
        <v>69</v>
      </c>
    </row>
    <row r="86" spans="1:14" x14ac:dyDescent="0.25">
      <c r="A86" s="51">
        <v>0.875</v>
      </c>
      <c r="B86" s="52">
        <v>1645.3602000000001</v>
      </c>
      <c r="C86" s="52">
        <v>82.268000000000001</v>
      </c>
      <c r="D86" s="52">
        <v>41.134</v>
      </c>
      <c r="E86" s="52">
        <v>41.134</v>
      </c>
      <c r="F86" s="52">
        <v>164.536</v>
      </c>
      <c r="G86" s="52">
        <v>82.268000000000001</v>
      </c>
      <c r="H86" s="52">
        <v>82.268000000000001</v>
      </c>
      <c r="I86" s="52">
        <v>164.536</v>
      </c>
      <c r="J86" s="52">
        <v>164.536</v>
      </c>
      <c r="K86" s="52">
        <v>493.60809999999998</v>
      </c>
      <c r="L86" s="52">
        <v>164.536</v>
      </c>
      <c r="M86" s="52">
        <v>164.536</v>
      </c>
      <c r="N86" s="5" t="s">
        <v>69</v>
      </c>
    </row>
    <row r="87" spans="1:14" x14ac:dyDescent="0.25">
      <c r="A87" s="51">
        <v>0.876</v>
      </c>
      <c r="B87" s="52">
        <v>1647.2406000000001</v>
      </c>
      <c r="C87" s="52">
        <v>82.361999999999995</v>
      </c>
      <c r="D87" s="52">
        <v>41.180999999999997</v>
      </c>
      <c r="E87" s="52">
        <v>41.180999999999997</v>
      </c>
      <c r="F87" s="52">
        <v>164.72409999999999</v>
      </c>
      <c r="G87" s="52">
        <v>82.361999999999995</v>
      </c>
      <c r="H87" s="52">
        <v>82.361999999999995</v>
      </c>
      <c r="I87" s="52">
        <v>164.72409999999999</v>
      </c>
      <c r="J87" s="52">
        <v>164.72409999999999</v>
      </c>
      <c r="K87" s="52">
        <v>494.17219999999998</v>
      </c>
      <c r="L87" s="52">
        <v>164.72409999999999</v>
      </c>
      <c r="M87" s="52">
        <v>164.72409999999999</v>
      </c>
      <c r="N87" s="5" t="s">
        <v>69</v>
      </c>
    </row>
    <row r="88" spans="1:14" x14ac:dyDescent="0.25">
      <c r="A88" s="51">
        <v>0.877</v>
      </c>
      <c r="B88" s="52">
        <v>1649.1210000000001</v>
      </c>
      <c r="C88" s="52">
        <v>82.456100000000006</v>
      </c>
      <c r="D88" s="52">
        <v>41.228000000000002</v>
      </c>
      <c r="E88" s="52">
        <v>41.228000000000002</v>
      </c>
      <c r="F88" s="52">
        <v>164.91210000000001</v>
      </c>
      <c r="G88" s="52">
        <v>82.456100000000006</v>
      </c>
      <c r="H88" s="52">
        <v>82.456100000000006</v>
      </c>
      <c r="I88" s="52">
        <v>164.91210000000001</v>
      </c>
      <c r="J88" s="52">
        <v>164.91210000000001</v>
      </c>
      <c r="K88" s="52">
        <v>494.73630000000003</v>
      </c>
      <c r="L88" s="52">
        <v>164.91210000000001</v>
      </c>
      <c r="M88" s="52">
        <v>164.91210000000001</v>
      </c>
      <c r="N88" s="5" t="s">
        <v>69</v>
      </c>
    </row>
    <row r="89" spans="1:14" x14ac:dyDescent="0.25">
      <c r="A89" s="51">
        <v>0.878</v>
      </c>
      <c r="B89" s="52">
        <v>1651.0014000000001</v>
      </c>
      <c r="C89" s="52">
        <v>82.5501</v>
      </c>
      <c r="D89" s="52">
        <v>41.274999999999999</v>
      </c>
      <c r="E89" s="52">
        <v>41.274999999999999</v>
      </c>
      <c r="F89" s="52">
        <v>165.1001</v>
      </c>
      <c r="G89" s="52">
        <v>82.5501</v>
      </c>
      <c r="H89" s="52">
        <v>82.5501</v>
      </c>
      <c r="I89" s="52">
        <v>165.1001</v>
      </c>
      <c r="J89" s="52">
        <v>165.1001</v>
      </c>
      <c r="K89" s="52">
        <v>495.30040000000002</v>
      </c>
      <c r="L89" s="52">
        <v>165.1001</v>
      </c>
      <c r="M89" s="52">
        <v>165.1001</v>
      </c>
      <c r="N89" s="5" t="s">
        <v>69</v>
      </c>
    </row>
    <row r="90" spans="1:14" x14ac:dyDescent="0.25">
      <c r="A90" s="51">
        <v>0.879</v>
      </c>
      <c r="B90" s="52">
        <v>1652.8819000000001</v>
      </c>
      <c r="C90" s="52">
        <v>82.644099999999995</v>
      </c>
      <c r="D90" s="52">
        <v>41.322000000000003</v>
      </c>
      <c r="E90" s="52">
        <v>41.322000000000003</v>
      </c>
      <c r="F90" s="52">
        <v>165.28819999999999</v>
      </c>
      <c r="G90" s="52">
        <v>82.644099999999995</v>
      </c>
      <c r="H90" s="52">
        <v>82.644099999999995</v>
      </c>
      <c r="I90" s="52">
        <v>165.28819999999999</v>
      </c>
      <c r="J90" s="52">
        <v>165.28819999999999</v>
      </c>
      <c r="K90" s="52">
        <v>495.8646</v>
      </c>
      <c r="L90" s="52">
        <v>165.28819999999999</v>
      </c>
      <c r="M90" s="52">
        <v>165.28819999999999</v>
      </c>
      <c r="N90" s="5" t="s">
        <v>69</v>
      </c>
    </row>
    <row r="91" spans="1:14" x14ac:dyDescent="0.25">
      <c r="A91" s="51">
        <v>0.88</v>
      </c>
      <c r="B91" s="52">
        <v>1654.7623000000001</v>
      </c>
      <c r="C91" s="52">
        <v>82.738100000000003</v>
      </c>
      <c r="D91" s="52">
        <v>41.369100000000003</v>
      </c>
      <c r="E91" s="52">
        <v>41.369100000000003</v>
      </c>
      <c r="F91" s="52">
        <v>165.47620000000001</v>
      </c>
      <c r="G91" s="52">
        <v>82.738100000000003</v>
      </c>
      <c r="H91" s="52">
        <v>82.738100000000003</v>
      </c>
      <c r="I91" s="52">
        <v>165.47620000000001</v>
      </c>
      <c r="J91" s="52">
        <v>165.47620000000001</v>
      </c>
      <c r="K91" s="52">
        <v>496.42869999999999</v>
      </c>
      <c r="L91" s="52">
        <v>165.47620000000001</v>
      </c>
      <c r="M91" s="52">
        <v>165.47620000000001</v>
      </c>
      <c r="N91" s="5" t="s">
        <v>69</v>
      </c>
    </row>
    <row r="92" spans="1:14" x14ac:dyDescent="0.25">
      <c r="A92" s="51">
        <v>0.88100000000000001</v>
      </c>
      <c r="B92" s="52">
        <v>1656.6427000000001</v>
      </c>
      <c r="C92" s="52">
        <v>82.832099999999997</v>
      </c>
      <c r="D92" s="52">
        <v>41.4161</v>
      </c>
      <c r="E92" s="52">
        <v>41.4161</v>
      </c>
      <c r="F92" s="52">
        <v>165.6643</v>
      </c>
      <c r="G92" s="52">
        <v>82.832099999999997</v>
      </c>
      <c r="H92" s="52">
        <v>82.832099999999997</v>
      </c>
      <c r="I92" s="52">
        <v>165.6643</v>
      </c>
      <c r="J92" s="52">
        <v>165.6643</v>
      </c>
      <c r="K92" s="52">
        <v>496.99279999999999</v>
      </c>
      <c r="L92" s="52">
        <v>165.6643</v>
      </c>
      <c r="M92" s="52">
        <v>165.6643</v>
      </c>
      <c r="N92" s="5" t="s">
        <v>69</v>
      </c>
    </row>
    <row r="93" spans="1:14" x14ac:dyDescent="0.25">
      <c r="A93" s="51">
        <v>0.88200000000000001</v>
      </c>
      <c r="B93" s="52">
        <v>1658.5231000000001</v>
      </c>
      <c r="C93" s="52">
        <v>82.926199999999994</v>
      </c>
      <c r="D93" s="52">
        <v>41.463099999999997</v>
      </c>
      <c r="E93" s="52">
        <v>41.463099999999997</v>
      </c>
      <c r="F93" s="52">
        <v>165.85230000000001</v>
      </c>
      <c r="G93" s="52">
        <v>82.926199999999994</v>
      </c>
      <c r="H93" s="52">
        <v>82.926199999999994</v>
      </c>
      <c r="I93" s="52">
        <v>165.85230000000001</v>
      </c>
      <c r="J93" s="52">
        <v>165.85230000000001</v>
      </c>
      <c r="K93" s="52">
        <v>497.55689999999998</v>
      </c>
      <c r="L93" s="52">
        <v>165.85230000000001</v>
      </c>
      <c r="M93" s="52">
        <v>165.85230000000001</v>
      </c>
      <c r="N93" s="5" t="s">
        <v>69</v>
      </c>
    </row>
    <row r="94" spans="1:14" x14ac:dyDescent="0.25">
      <c r="A94" s="51">
        <v>0.88300000000000001</v>
      </c>
      <c r="B94" s="52">
        <v>1660.4034999999999</v>
      </c>
      <c r="C94" s="52">
        <v>83.020200000000003</v>
      </c>
      <c r="D94" s="52">
        <v>41.510100000000001</v>
      </c>
      <c r="E94" s="52">
        <v>41.510100000000001</v>
      </c>
      <c r="F94" s="52">
        <v>166.0403</v>
      </c>
      <c r="G94" s="52">
        <v>83.020200000000003</v>
      </c>
      <c r="H94" s="52">
        <v>83.020200000000003</v>
      </c>
      <c r="I94" s="52">
        <v>166.0403</v>
      </c>
      <c r="J94" s="52">
        <v>166.0403</v>
      </c>
      <c r="K94" s="52">
        <v>498.12099999999998</v>
      </c>
      <c r="L94" s="52">
        <v>166.0403</v>
      </c>
      <c r="M94" s="52">
        <v>166.0403</v>
      </c>
      <c r="N94" s="5" t="s">
        <v>69</v>
      </c>
    </row>
    <row r="95" spans="1:14" x14ac:dyDescent="0.25">
      <c r="A95" s="51">
        <v>0.88400000000000001</v>
      </c>
      <c r="B95" s="52">
        <v>1662.2838999999999</v>
      </c>
      <c r="C95" s="52">
        <v>83.114199999999997</v>
      </c>
      <c r="D95" s="52">
        <v>41.557099999999998</v>
      </c>
      <c r="E95" s="52">
        <v>41.557099999999998</v>
      </c>
      <c r="F95" s="52">
        <v>166.22839999999999</v>
      </c>
      <c r="G95" s="52">
        <v>83.114199999999997</v>
      </c>
      <c r="H95" s="52">
        <v>83.114199999999997</v>
      </c>
      <c r="I95" s="52">
        <v>166.22839999999999</v>
      </c>
      <c r="J95" s="52">
        <v>166.22839999999999</v>
      </c>
      <c r="K95" s="52">
        <v>498.68520000000001</v>
      </c>
      <c r="L95" s="52">
        <v>166.22839999999999</v>
      </c>
      <c r="M95" s="52">
        <v>166.22839999999999</v>
      </c>
      <c r="N95" s="5" t="s">
        <v>69</v>
      </c>
    </row>
    <row r="96" spans="1:14" x14ac:dyDescent="0.25">
      <c r="A96" s="51">
        <v>0.88500000000000001</v>
      </c>
      <c r="B96" s="52">
        <v>1664.1642999999999</v>
      </c>
      <c r="C96" s="52">
        <v>83.208200000000005</v>
      </c>
      <c r="D96" s="52">
        <v>41.604100000000003</v>
      </c>
      <c r="E96" s="52">
        <v>41.604100000000003</v>
      </c>
      <c r="F96" s="52">
        <v>166.41640000000001</v>
      </c>
      <c r="G96" s="52">
        <v>83.208200000000005</v>
      </c>
      <c r="H96" s="52">
        <v>83.208200000000005</v>
      </c>
      <c r="I96" s="52">
        <v>166.41640000000001</v>
      </c>
      <c r="J96" s="52">
        <v>166.41640000000001</v>
      </c>
      <c r="K96" s="52">
        <v>499.24930000000001</v>
      </c>
      <c r="L96" s="52">
        <v>166.41640000000001</v>
      </c>
      <c r="M96" s="52">
        <v>166.41640000000001</v>
      </c>
      <c r="N96" s="5" t="s">
        <v>69</v>
      </c>
    </row>
    <row r="97" spans="1:14" x14ac:dyDescent="0.25">
      <c r="A97" s="51">
        <v>0.88600000000000001</v>
      </c>
      <c r="B97" s="52">
        <v>1666.0446999999999</v>
      </c>
      <c r="C97" s="52">
        <v>83.302199999999999</v>
      </c>
      <c r="D97" s="52">
        <v>41.6511</v>
      </c>
      <c r="E97" s="52">
        <v>41.6511</v>
      </c>
      <c r="F97" s="52">
        <v>166.6045</v>
      </c>
      <c r="G97" s="52">
        <v>83.302199999999999</v>
      </c>
      <c r="H97" s="52">
        <v>83.302199999999999</v>
      </c>
      <c r="I97" s="52">
        <v>166.6045</v>
      </c>
      <c r="J97" s="52">
        <v>166.6045</v>
      </c>
      <c r="K97" s="52">
        <v>499.8134</v>
      </c>
      <c r="L97" s="52">
        <v>166.6045</v>
      </c>
      <c r="M97" s="52">
        <v>166.6045</v>
      </c>
      <c r="N97" s="5" t="s">
        <v>69</v>
      </c>
    </row>
    <row r="98" spans="1:14" x14ac:dyDescent="0.25">
      <c r="A98" s="51">
        <v>0.88700000000000001</v>
      </c>
      <c r="B98" s="52">
        <v>1667.9250999999999</v>
      </c>
      <c r="C98" s="52">
        <v>83.396299999999997</v>
      </c>
      <c r="D98" s="52">
        <v>41.698099999999997</v>
      </c>
      <c r="E98" s="52">
        <v>41.698099999999997</v>
      </c>
      <c r="F98" s="52">
        <v>166.79249999999999</v>
      </c>
      <c r="G98" s="52">
        <v>83.396299999999997</v>
      </c>
      <c r="H98" s="52">
        <v>83.396299999999997</v>
      </c>
      <c r="I98" s="52">
        <v>166.79249999999999</v>
      </c>
      <c r="J98" s="52">
        <v>166.79249999999999</v>
      </c>
      <c r="K98" s="52">
        <v>500.3775</v>
      </c>
      <c r="L98" s="52">
        <v>166.79249999999999</v>
      </c>
      <c r="M98" s="52">
        <v>166.79249999999999</v>
      </c>
      <c r="N98" s="5" t="s">
        <v>69</v>
      </c>
    </row>
    <row r="99" spans="1:14" x14ac:dyDescent="0.25">
      <c r="A99" s="51">
        <v>0.88800000000000001</v>
      </c>
      <c r="B99" s="52">
        <v>1669.8055999999999</v>
      </c>
      <c r="C99" s="52">
        <v>83.490300000000005</v>
      </c>
      <c r="D99" s="52">
        <v>41.745100000000001</v>
      </c>
      <c r="E99" s="52">
        <v>41.745100000000001</v>
      </c>
      <c r="F99" s="52">
        <v>166.98060000000001</v>
      </c>
      <c r="G99" s="52">
        <v>83.490300000000005</v>
      </c>
      <c r="H99" s="52">
        <v>83.490300000000005</v>
      </c>
      <c r="I99" s="52">
        <v>166.98060000000001</v>
      </c>
      <c r="J99" s="52">
        <v>166.98060000000001</v>
      </c>
      <c r="K99" s="52">
        <v>500.94170000000003</v>
      </c>
      <c r="L99" s="52">
        <v>166.98060000000001</v>
      </c>
      <c r="M99" s="52">
        <v>166.98060000000001</v>
      </c>
      <c r="N99" s="5" t="s">
        <v>69</v>
      </c>
    </row>
    <row r="100" spans="1:14" x14ac:dyDescent="0.25">
      <c r="A100" s="51">
        <v>0.88900000000000001</v>
      </c>
      <c r="B100" s="52">
        <v>1671.6859999999999</v>
      </c>
      <c r="C100" s="52">
        <v>83.584299999999999</v>
      </c>
      <c r="D100" s="52">
        <v>41.792099999999998</v>
      </c>
      <c r="E100" s="52">
        <v>41.792099999999998</v>
      </c>
      <c r="F100" s="52">
        <v>167.1686</v>
      </c>
      <c r="G100" s="52">
        <v>83.584299999999999</v>
      </c>
      <c r="H100" s="52">
        <v>83.584299999999999</v>
      </c>
      <c r="I100" s="52">
        <v>167.1686</v>
      </c>
      <c r="J100" s="52">
        <v>167.1686</v>
      </c>
      <c r="K100" s="52">
        <v>501.50580000000002</v>
      </c>
      <c r="L100" s="52">
        <v>167.1686</v>
      </c>
      <c r="M100" s="52">
        <v>167.1686</v>
      </c>
      <c r="N100" s="5" t="s">
        <v>69</v>
      </c>
    </row>
    <row r="101" spans="1:14" x14ac:dyDescent="0.25">
      <c r="A101" s="51">
        <v>0.89</v>
      </c>
      <c r="B101" s="52">
        <v>1673.5663999999999</v>
      </c>
      <c r="C101" s="52">
        <v>83.678299999999993</v>
      </c>
      <c r="D101" s="52">
        <v>41.839199999999998</v>
      </c>
      <c r="E101" s="52">
        <v>41.839199999999998</v>
      </c>
      <c r="F101" s="52">
        <v>167.35659999999999</v>
      </c>
      <c r="G101" s="52">
        <v>83.678299999999993</v>
      </c>
      <c r="H101" s="52">
        <v>83.678299999999993</v>
      </c>
      <c r="I101" s="52">
        <v>167.35659999999999</v>
      </c>
      <c r="J101" s="52">
        <v>167.35659999999999</v>
      </c>
      <c r="K101" s="52">
        <v>502.06990000000002</v>
      </c>
      <c r="L101" s="52">
        <v>167.35659999999999</v>
      </c>
      <c r="M101" s="52">
        <v>167.35659999999999</v>
      </c>
      <c r="N101" s="5" t="s">
        <v>69</v>
      </c>
    </row>
    <row r="102" spans="1:14" x14ac:dyDescent="0.25">
      <c r="A102" s="51">
        <v>0.89100000000000001</v>
      </c>
      <c r="B102" s="52">
        <v>1675.4467999999999</v>
      </c>
      <c r="C102" s="52">
        <v>83.772300000000001</v>
      </c>
      <c r="D102" s="52">
        <v>41.886200000000002</v>
      </c>
      <c r="E102" s="52">
        <v>41.886200000000002</v>
      </c>
      <c r="F102" s="52">
        <v>167.54470000000001</v>
      </c>
      <c r="G102" s="52">
        <v>83.772300000000001</v>
      </c>
      <c r="H102" s="52">
        <v>83.772300000000001</v>
      </c>
      <c r="I102" s="52">
        <v>167.54470000000001</v>
      </c>
      <c r="J102" s="52">
        <v>167.54470000000001</v>
      </c>
      <c r="K102" s="52">
        <v>502.63400000000001</v>
      </c>
      <c r="L102" s="52">
        <v>167.54470000000001</v>
      </c>
      <c r="M102" s="52">
        <v>167.54470000000001</v>
      </c>
      <c r="N102" s="5" t="s">
        <v>69</v>
      </c>
    </row>
    <row r="103" spans="1:14" x14ac:dyDescent="0.25">
      <c r="A103" s="51">
        <v>0.89200000000000002</v>
      </c>
      <c r="B103" s="52">
        <v>1677.3271999999999</v>
      </c>
      <c r="C103" s="52">
        <v>83.866399999999999</v>
      </c>
      <c r="D103" s="52">
        <v>41.933199999999999</v>
      </c>
      <c r="E103" s="52">
        <v>41.933199999999999</v>
      </c>
      <c r="F103" s="52">
        <v>167.73269999999999</v>
      </c>
      <c r="G103" s="52">
        <v>83.866399999999999</v>
      </c>
      <c r="H103" s="52">
        <v>83.866399999999999</v>
      </c>
      <c r="I103" s="52">
        <v>167.73269999999999</v>
      </c>
      <c r="J103" s="52">
        <v>167.73269999999999</v>
      </c>
      <c r="K103" s="52">
        <v>503.19819999999999</v>
      </c>
      <c r="L103" s="52">
        <v>167.73269999999999</v>
      </c>
      <c r="M103" s="52">
        <v>167.73269999999999</v>
      </c>
      <c r="N103" s="5" t="s">
        <v>69</v>
      </c>
    </row>
    <row r="104" spans="1:14" x14ac:dyDescent="0.25">
      <c r="A104" s="51">
        <v>0.89300000000000002</v>
      </c>
      <c r="B104" s="52">
        <v>1679.2076</v>
      </c>
      <c r="C104" s="52">
        <v>83.960400000000007</v>
      </c>
      <c r="D104" s="52">
        <v>41.980200000000004</v>
      </c>
      <c r="E104" s="52">
        <v>41.980200000000004</v>
      </c>
      <c r="F104" s="52">
        <v>167.92080000000001</v>
      </c>
      <c r="G104" s="52">
        <v>83.960400000000007</v>
      </c>
      <c r="H104" s="52">
        <v>83.960400000000007</v>
      </c>
      <c r="I104" s="52">
        <v>167.92080000000001</v>
      </c>
      <c r="J104" s="52">
        <v>167.92080000000001</v>
      </c>
      <c r="K104" s="52">
        <v>503.76229999999998</v>
      </c>
      <c r="L104" s="52">
        <v>167.92080000000001</v>
      </c>
      <c r="M104" s="52">
        <v>167.92080000000001</v>
      </c>
      <c r="N104" s="5" t="s">
        <v>69</v>
      </c>
    </row>
    <row r="105" spans="1:14" x14ac:dyDescent="0.25">
      <c r="A105" s="51">
        <v>0.89400000000000002</v>
      </c>
      <c r="B105" s="52">
        <v>1681.088</v>
      </c>
      <c r="C105" s="52">
        <v>84.054400000000001</v>
      </c>
      <c r="D105" s="52">
        <v>42.027200000000001</v>
      </c>
      <c r="E105" s="52">
        <v>42.027200000000001</v>
      </c>
      <c r="F105" s="52">
        <v>168.1088</v>
      </c>
      <c r="G105" s="52">
        <v>84.054400000000001</v>
      </c>
      <c r="H105" s="52">
        <v>84.054400000000001</v>
      </c>
      <c r="I105" s="52">
        <v>168.1088</v>
      </c>
      <c r="J105" s="52">
        <v>168.1088</v>
      </c>
      <c r="K105" s="52">
        <v>504.32639999999998</v>
      </c>
      <c r="L105" s="52">
        <v>168.1088</v>
      </c>
      <c r="M105" s="52">
        <v>168.1088</v>
      </c>
      <c r="N105" s="5" t="s">
        <v>69</v>
      </c>
    </row>
    <row r="106" spans="1:14" x14ac:dyDescent="0.25">
      <c r="A106" s="51">
        <v>0.89500000000000002</v>
      </c>
      <c r="B106" s="52">
        <v>1682.9684</v>
      </c>
      <c r="C106" s="52">
        <v>84.148399999999995</v>
      </c>
      <c r="D106" s="52">
        <v>42.074199999999998</v>
      </c>
      <c r="E106" s="52">
        <v>42.074199999999998</v>
      </c>
      <c r="F106" s="52">
        <v>168.29679999999999</v>
      </c>
      <c r="G106" s="52">
        <v>84.148399999999995</v>
      </c>
      <c r="H106" s="52">
        <v>84.148399999999995</v>
      </c>
      <c r="I106" s="52">
        <v>168.29679999999999</v>
      </c>
      <c r="J106" s="52">
        <v>168.29679999999999</v>
      </c>
      <c r="K106" s="52">
        <v>504.89049999999997</v>
      </c>
      <c r="L106" s="52">
        <v>168.29679999999999</v>
      </c>
      <c r="M106" s="52">
        <v>168.29679999999999</v>
      </c>
      <c r="N106" s="5" t="s">
        <v>69</v>
      </c>
    </row>
    <row r="107" spans="1:14" x14ac:dyDescent="0.25">
      <c r="A107" s="51">
        <v>0.89600000000000002</v>
      </c>
      <c r="B107" s="52">
        <v>1684.8489</v>
      </c>
      <c r="C107" s="52">
        <v>84.242400000000004</v>
      </c>
      <c r="D107" s="52">
        <v>42.121200000000002</v>
      </c>
      <c r="E107" s="52">
        <v>42.121200000000002</v>
      </c>
      <c r="F107" s="52">
        <v>168.48490000000001</v>
      </c>
      <c r="G107" s="52">
        <v>84.242400000000004</v>
      </c>
      <c r="H107" s="52">
        <v>84.242400000000004</v>
      </c>
      <c r="I107" s="52">
        <v>168.48490000000001</v>
      </c>
      <c r="J107" s="52">
        <v>168.48490000000001</v>
      </c>
      <c r="K107" s="52">
        <v>505.4547</v>
      </c>
      <c r="L107" s="52">
        <v>168.48490000000001</v>
      </c>
      <c r="M107" s="52">
        <v>168.48490000000001</v>
      </c>
      <c r="N107" s="5" t="s">
        <v>69</v>
      </c>
    </row>
    <row r="108" spans="1:14" x14ac:dyDescent="0.25">
      <c r="A108" s="51">
        <v>0.89700000000000002</v>
      </c>
      <c r="B108" s="52">
        <v>1686.7293</v>
      </c>
      <c r="C108" s="52">
        <v>84.336500000000001</v>
      </c>
      <c r="D108" s="52">
        <v>42.168199999999999</v>
      </c>
      <c r="E108" s="52">
        <v>42.168199999999999</v>
      </c>
      <c r="F108" s="52">
        <v>168.6729</v>
      </c>
      <c r="G108" s="52">
        <v>84.336500000000001</v>
      </c>
      <c r="H108" s="52">
        <v>84.336500000000001</v>
      </c>
      <c r="I108" s="52">
        <v>168.6729</v>
      </c>
      <c r="J108" s="52">
        <v>168.6729</v>
      </c>
      <c r="K108" s="52">
        <v>506.0188</v>
      </c>
      <c r="L108" s="52">
        <v>168.6729</v>
      </c>
      <c r="M108" s="52">
        <v>168.6729</v>
      </c>
      <c r="N108" s="5" t="s">
        <v>69</v>
      </c>
    </row>
    <row r="109" spans="1:14" x14ac:dyDescent="0.25">
      <c r="A109" s="51">
        <v>0.89800000000000002</v>
      </c>
      <c r="B109" s="52">
        <v>1688.6097</v>
      </c>
      <c r="C109" s="52">
        <v>84.430499999999995</v>
      </c>
      <c r="D109" s="52">
        <v>42.215200000000003</v>
      </c>
      <c r="E109" s="52">
        <v>42.215200000000003</v>
      </c>
      <c r="F109" s="52">
        <v>168.86099999999999</v>
      </c>
      <c r="G109" s="52">
        <v>84.430499999999995</v>
      </c>
      <c r="H109" s="52">
        <v>84.430499999999995</v>
      </c>
      <c r="I109" s="52">
        <v>168.86099999999999</v>
      </c>
      <c r="J109" s="52">
        <v>168.86099999999999</v>
      </c>
      <c r="K109" s="52">
        <v>506.5829</v>
      </c>
      <c r="L109" s="52">
        <v>168.86099999999999</v>
      </c>
      <c r="M109" s="52">
        <v>168.86099999999999</v>
      </c>
      <c r="N109" s="5" t="s">
        <v>69</v>
      </c>
    </row>
    <row r="110" spans="1:14" x14ac:dyDescent="0.25">
      <c r="A110" s="51">
        <v>0.89900000000000002</v>
      </c>
      <c r="B110" s="52">
        <v>1690.4901</v>
      </c>
      <c r="C110" s="52">
        <v>84.524500000000003</v>
      </c>
      <c r="D110" s="52">
        <v>42.262300000000003</v>
      </c>
      <c r="E110" s="52">
        <v>42.262300000000003</v>
      </c>
      <c r="F110" s="52">
        <v>169.04900000000001</v>
      </c>
      <c r="G110" s="52">
        <v>84.524500000000003</v>
      </c>
      <c r="H110" s="52">
        <v>84.524500000000003</v>
      </c>
      <c r="I110" s="52">
        <v>169.04900000000001</v>
      </c>
      <c r="J110" s="52">
        <v>169.04900000000001</v>
      </c>
      <c r="K110" s="52">
        <v>507.14699999999999</v>
      </c>
      <c r="L110" s="52">
        <v>169.04900000000001</v>
      </c>
      <c r="M110" s="52">
        <v>169.04900000000001</v>
      </c>
      <c r="N110" s="5" t="s">
        <v>69</v>
      </c>
    </row>
    <row r="111" spans="1:14" x14ac:dyDescent="0.25">
      <c r="A111" s="51">
        <v>0.9</v>
      </c>
      <c r="B111" s="52">
        <v>2538.5556999999999</v>
      </c>
      <c r="C111" s="52">
        <v>126.9278</v>
      </c>
      <c r="D111" s="52">
        <v>63.463900000000002</v>
      </c>
      <c r="E111" s="52">
        <v>63.463900000000002</v>
      </c>
      <c r="F111" s="52">
        <v>253.85560000000001</v>
      </c>
      <c r="G111" s="52">
        <v>126.9278</v>
      </c>
      <c r="H111" s="52">
        <v>126.9278</v>
      </c>
      <c r="I111" s="52">
        <v>253.85560000000001</v>
      </c>
      <c r="J111" s="52">
        <v>253.85560000000001</v>
      </c>
      <c r="K111" s="52">
        <v>761.56669999999997</v>
      </c>
      <c r="L111" s="52">
        <v>253.85560000000001</v>
      </c>
      <c r="M111" s="52">
        <v>253.85560000000001</v>
      </c>
      <c r="N111" s="5" t="s">
        <v>69</v>
      </c>
    </row>
    <row r="112" spans="1:14" x14ac:dyDescent="0.25">
      <c r="A112" s="51">
        <v>0.90100000000000002</v>
      </c>
      <c r="B112" s="52">
        <v>2541.3764000000001</v>
      </c>
      <c r="C112" s="52">
        <v>127.0688</v>
      </c>
      <c r="D112" s="52">
        <v>63.534399999999998</v>
      </c>
      <c r="E112" s="52">
        <v>63.534399999999998</v>
      </c>
      <c r="F112" s="52">
        <v>254.13759999999999</v>
      </c>
      <c r="G112" s="52">
        <v>127.0688</v>
      </c>
      <c r="H112" s="52">
        <v>127.0688</v>
      </c>
      <c r="I112" s="52">
        <v>254.13759999999999</v>
      </c>
      <c r="J112" s="52">
        <v>254.13759999999999</v>
      </c>
      <c r="K112" s="52">
        <v>762.41290000000004</v>
      </c>
      <c r="L112" s="52">
        <v>254.13759999999999</v>
      </c>
      <c r="M112" s="52">
        <v>254.13759999999999</v>
      </c>
      <c r="N112" s="5" t="s">
        <v>69</v>
      </c>
    </row>
    <row r="113" spans="1:14" x14ac:dyDescent="0.25">
      <c r="A113" s="51">
        <v>0.90200000000000002</v>
      </c>
      <c r="B113" s="52">
        <v>2544.1970000000001</v>
      </c>
      <c r="C113" s="52">
        <v>127.2098</v>
      </c>
      <c r="D113" s="52">
        <v>63.604900000000001</v>
      </c>
      <c r="E113" s="52">
        <v>63.604900000000001</v>
      </c>
      <c r="F113" s="52">
        <v>254.41970000000001</v>
      </c>
      <c r="G113" s="52">
        <v>127.2098</v>
      </c>
      <c r="H113" s="52">
        <v>127.2098</v>
      </c>
      <c r="I113" s="52">
        <v>254.41970000000001</v>
      </c>
      <c r="J113" s="52">
        <v>254.41970000000001</v>
      </c>
      <c r="K113" s="52">
        <v>763.25909999999999</v>
      </c>
      <c r="L113" s="52">
        <v>254.41970000000001</v>
      </c>
      <c r="M113" s="52">
        <v>254.41970000000001</v>
      </c>
      <c r="N113" s="5" t="s">
        <v>69</v>
      </c>
    </row>
    <row r="114" spans="1:14" x14ac:dyDescent="0.25">
      <c r="A114" s="51">
        <v>0.90300000000000002</v>
      </c>
      <c r="B114" s="52">
        <v>2547.0176000000001</v>
      </c>
      <c r="C114" s="52">
        <v>127.3509</v>
      </c>
      <c r="D114" s="52">
        <v>63.675400000000003</v>
      </c>
      <c r="E114" s="52">
        <v>63.675400000000003</v>
      </c>
      <c r="F114" s="52">
        <v>254.70179999999999</v>
      </c>
      <c r="G114" s="52">
        <v>127.3509</v>
      </c>
      <c r="H114" s="52">
        <v>127.3509</v>
      </c>
      <c r="I114" s="52">
        <v>254.70179999999999</v>
      </c>
      <c r="J114" s="52">
        <v>254.70179999999999</v>
      </c>
      <c r="K114" s="52">
        <v>764.10530000000006</v>
      </c>
      <c r="L114" s="52">
        <v>254.70179999999999</v>
      </c>
      <c r="M114" s="52">
        <v>254.70179999999999</v>
      </c>
      <c r="N114" s="5" t="s">
        <v>69</v>
      </c>
    </row>
    <row r="115" spans="1:14" x14ac:dyDescent="0.25">
      <c r="A115" s="51">
        <v>0.90400000000000003</v>
      </c>
      <c r="B115" s="52">
        <v>2549.8382000000001</v>
      </c>
      <c r="C115" s="52">
        <v>127.4919</v>
      </c>
      <c r="D115" s="52">
        <v>63.746000000000002</v>
      </c>
      <c r="E115" s="52">
        <v>63.746000000000002</v>
      </c>
      <c r="F115" s="52">
        <v>254.9838</v>
      </c>
      <c r="G115" s="52">
        <v>127.4919</v>
      </c>
      <c r="H115" s="52">
        <v>127.4919</v>
      </c>
      <c r="I115" s="52">
        <v>254.9838</v>
      </c>
      <c r="J115" s="52">
        <v>254.9838</v>
      </c>
      <c r="K115" s="52">
        <v>764.95150000000001</v>
      </c>
      <c r="L115" s="52">
        <v>254.9838</v>
      </c>
      <c r="M115" s="52">
        <v>254.9838</v>
      </c>
      <c r="N115" s="5" t="s">
        <v>69</v>
      </c>
    </row>
    <row r="116" spans="1:14" x14ac:dyDescent="0.25">
      <c r="A116" s="51">
        <v>0.90500000000000003</v>
      </c>
      <c r="B116" s="52">
        <v>2552.6588000000002</v>
      </c>
      <c r="C116" s="52">
        <v>127.63290000000001</v>
      </c>
      <c r="D116" s="52">
        <v>63.816499999999998</v>
      </c>
      <c r="E116" s="52">
        <v>63.816499999999998</v>
      </c>
      <c r="F116" s="52">
        <v>255.26589999999999</v>
      </c>
      <c r="G116" s="52">
        <v>127.63290000000001</v>
      </c>
      <c r="H116" s="52">
        <v>127.63290000000001</v>
      </c>
      <c r="I116" s="52">
        <v>255.26589999999999</v>
      </c>
      <c r="J116" s="52">
        <v>255.26589999999999</v>
      </c>
      <c r="K116" s="52">
        <v>765.79759999999999</v>
      </c>
      <c r="L116" s="52">
        <v>255.26589999999999</v>
      </c>
      <c r="M116" s="52">
        <v>255.26589999999999</v>
      </c>
      <c r="N116" s="5" t="s">
        <v>69</v>
      </c>
    </row>
    <row r="117" spans="1:14" x14ac:dyDescent="0.25">
      <c r="A117" s="51">
        <v>0.90600000000000003</v>
      </c>
      <c r="B117" s="52">
        <v>2555.4794000000002</v>
      </c>
      <c r="C117" s="52">
        <v>127.774</v>
      </c>
      <c r="D117" s="52">
        <v>63.887</v>
      </c>
      <c r="E117" s="52">
        <v>63.887</v>
      </c>
      <c r="F117" s="52">
        <v>255.5479</v>
      </c>
      <c r="G117" s="52">
        <v>127.774</v>
      </c>
      <c r="H117" s="52">
        <v>127.774</v>
      </c>
      <c r="I117" s="52">
        <v>255.5479</v>
      </c>
      <c r="J117" s="52">
        <v>255.5479</v>
      </c>
      <c r="K117" s="52">
        <v>766.64380000000006</v>
      </c>
      <c r="L117" s="52">
        <v>255.5479</v>
      </c>
      <c r="M117" s="52">
        <v>255.5479</v>
      </c>
      <c r="N117" s="5" t="s">
        <v>69</v>
      </c>
    </row>
    <row r="118" spans="1:14" x14ac:dyDescent="0.25">
      <c r="A118" s="51">
        <v>0.90700000000000003</v>
      </c>
      <c r="B118" s="52">
        <v>2558.3000999999999</v>
      </c>
      <c r="C118" s="52">
        <v>127.91500000000001</v>
      </c>
      <c r="D118" s="52">
        <v>63.957500000000003</v>
      </c>
      <c r="E118" s="52">
        <v>63.957500000000003</v>
      </c>
      <c r="F118" s="52">
        <v>255.83</v>
      </c>
      <c r="G118" s="52">
        <v>127.91500000000001</v>
      </c>
      <c r="H118" s="52">
        <v>127.91500000000001</v>
      </c>
      <c r="I118" s="52">
        <v>255.83</v>
      </c>
      <c r="J118" s="52">
        <v>255.83</v>
      </c>
      <c r="K118" s="52">
        <v>767.49</v>
      </c>
      <c r="L118" s="52">
        <v>255.83</v>
      </c>
      <c r="M118" s="52">
        <v>255.83</v>
      </c>
      <c r="N118" s="5" t="s">
        <v>69</v>
      </c>
    </row>
    <row r="119" spans="1:14" x14ac:dyDescent="0.25">
      <c r="A119" s="51">
        <v>0.90800000000000003</v>
      </c>
      <c r="B119" s="52">
        <v>2561.1206999999999</v>
      </c>
      <c r="C119" s="52">
        <v>128.05600000000001</v>
      </c>
      <c r="D119" s="52">
        <v>64.028000000000006</v>
      </c>
      <c r="E119" s="52">
        <v>64.028000000000006</v>
      </c>
      <c r="F119" s="52">
        <v>256.1121</v>
      </c>
      <c r="G119" s="52">
        <v>128.05600000000001</v>
      </c>
      <c r="H119" s="52">
        <v>128.05600000000001</v>
      </c>
      <c r="I119" s="52">
        <v>256.1121</v>
      </c>
      <c r="J119" s="52">
        <v>256.1121</v>
      </c>
      <c r="K119" s="52">
        <v>768.33619999999996</v>
      </c>
      <c r="L119" s="52">
        <v>256.1121</v>
      </c>
      <c r="M119" s="52">
        <v>256.1121</v>
      </c>
      <c r="N119" s="5" t="s">
        <v>69</v>
      </c>
    </row>
    <row r="120" spans="1:14" x14ac:dyDescent="0.25">
      <c r="A120" s="51">
        <v>0.90900000000000003</v>
      </c>
      <c r="B120" s="52">
        <v>2563.9413</v>
      </c>
      <c r="C120" s="52">
        <v>128.19710000000001</v>
      </c>
      <c r="D120" s="52">
        <v>64.098500000000001</v>
      </c>
      <c r="E120" s="52">
        <v>64.098500000000001</v>
      </c>
      <c r="F120" s="52">
        <v>256.39409999999998</v>
      </c>
      <c r="G120" s="52">
        <v>128.19710000000001</v>
      </c>
      <c r="H120" s="52">
        <v>128.19710000000001</v>
      </c>
      <c r="I120" s="52">
        <v>256.39409999999998</v>
      </c>
      <c r="J120" s="52">
        <v>256.39409999999998</v>
      </c>
      <c r="K120" s="52">
        <v>769.18240000000003</v>
      </c>
      <c r="L120" s="52">
        <v>256.39409999999998</v>
      </c>
      <c r="M120" s="52">
        <v>256.39409999999998</v>
      </c>
      <c r="N120" s="5" t="s">
        <v>69</v>
      </c>
    </row>
    <row r="121" spans="1:14" x14ac:dyDescent="0.25">
      <c r="A121" s="51">
        <v>0.91</v>
      </c>
      <c r="B121" s="52">
        <v>2566.7619</v>
      </c>
      <c r="C121" s="52">
        <v>128.3381</v>
      </c>
      <c r="D121" s="52">
        <v>64.168999999999997</v>
      </c>
      <c r="E121" s="52">
        <v>64.168999999999997</v>
      </c>
      <c r="F121" s="52">
        <v>256.67619999999999</v>
      </c>
      <c r="G121" s="52">
        <v>128.3381</v>
      </c>
      <c r="H121" s="52">
        <v>128.3381</v>
      </c>
      <c r="I121" s="52">
        <v>256.67619999999999</v>
      </c>
      <c r="J121" s="52">
        <v>256.67619999999999</v>
      </c>
      <c r="K121" s="52">
        <v>770.02859999999998</v>
      </c>
      <c r="L121" s="52">
        <v>256.67619999999999</v>
      </c>
      <c r="M121" s="52">
        <v>256.67619999999999</v>
      </c>
      <c r="N121" s="5" t="s">
        <v>69</v>
      </c>
    </row>
    <row r="122" spans="1:14" x14ac:dyDescent="0.25">
      <c r="A122" s="51">
        <v>0.91100000000000003</v>
      </c>
      <c r="B122" s="52">
        <v>2569.5825</v>
      </c>
      <c r="C122" s="52">
        <v>128.47909999999999</v>
      </c>
      <c r="D122" s="52">
        <v>64.239599999999996</v>
      </c>
      <c r="E122" s="52">
        <v>64.239599999999996</v>
      </c>
      <c r="F122" s="52">
        <v>256.95830000000001</v>
      </c>
      <c r="G122" s="52">
        <v>128.47909999999999</v>
      </c>
      <c r="H122" s="52">
        <v>128.47909999999999</v>
      </c>
      <c r="I122" s="52">
        <v>256.95830000000001</v>
      </c>
      <c r="J122" s="52">
        <v>256.95830000000001</v>
      </c>
      <c r="K122" s="52">
        <v>770.87480000000005</v>
      </c>
      <c r="L122" s="52">
        <v>256.95830000000001</v>
      </c>
      <c r="M122" s="52">
        <v>256.95830000000001</v>
      </c>
      <c r="N122" s="5" t="s">
        <v>69</v>
      </c>
    </row>
    <row r="123" spans="1:14" x14ac:dyDescent="0.25">
      <c r="A123" s="51">
        <v>0.91200000000000003</v>
      </c>
      <c r="B123" s="52">
        <v>2572.4032000000002</v>
      </c>
      <c r="C123" s="52">
        <v>128.62020000000001</v>
      </c>
      <c r="D123" s="52">
        <v>64.310100000000006</v>
      </c>
      <c r="E123" s="52">
        <v>64.310100000000006</v>
      </c>
      <c r="F123" s="52">
        <v>257.24029999999999</v>
      </c>
      <c r="G123" s="52">
        <v>128.62020000000001</v>
      </c>
      <c r="H123" s="52">
        <v>128.62020000000001</v>
      </c>
      <c r="I123" s="52">
        <v>257.24029999999999</v>
      </c>
      <c r="J123" s="52">
        <v>257.24029999999999</v>
      </c>
      <c r="K123" s="52">
        <v>771.72090000000003</v>
      </c>
      <c r="L123" s="52">
        <v>257.24029999999999</v>
      </c>
      <c r="M123" s="52">
        <v>257.24029999999999</v>
      </c>
      <c r="N123" s="5" t="s">
        <v>69</v>
      </c>
    </row>
    <row r="124" spans="1:14" x14ac:dyDescent="0.25">
      <c r="A124" s="51">
        <v>0.91300000000000003</v>
      </c>
      <c r="B124" s="52">
        <v>2575.2238000000002</v>
      </c>
      <c r="C124" s="52">
        <v>128.7612</v>
      </c>
      <c r="D124" s="52">
        <v>64.380600000000001</v>
      </c>
      <c r="E124" s="52">
        <v>64.380600000000001</v>
      </c>
      <c r="F124" s="52">
        <v>257.5224</v>
      </c>
      <c r="G124" s="52">
        <v>128.7612</v>
      </c>
      <c r="H124" s="52">
        <v>128.7612</v>
      </c>
      <c r="I124" s="52">
        <v>257.5224</v>
      </c>
      <c r="J124" s="52">
        <v>257.5224</v>
      </c>
      <c r="K124" s="52">
        <v>772.56709999999998</v>
      </c>
      <c r="L124" s="52">
        <v>257.5224</v>
      </c>
      <c r="M124" s="52">
        <v>257.5224</v>
      </c>
      <c r="N124" s="5" t="s">
        <v>69</v>
      </c>
    </row>
    <row r="125" spans="1:14" x14ac:dyDescent="0.25">
      <c r="A125" s="51">
        <v>0.91400000000000003</v>
      </c>
      <c r="B125" s="52">
        <v>2578.0444000000002</v>
      </c>
      <c r="C125" s="52">
        <v>128.90219999999999</v>
      </c>
      <c r="D125" s="52">
        <v>64.451099999999997</v>
      </c>
      <c r="E125" s="52">
        <v>64.451099999999997</v>
      </c>
      <c r="F125" s="52">
        <v>257.80439999999999</v>
      </c>
      <c r="G125" s="52">
        <v>128.90219999999999</v>
      </c>
      <c r="H125" s="52">
        <v>128.90219999999999</v>
      </c>
      <c r="I125" s="52">
        <v>257.80439999999999</v>
      </c>
      <c r="J125" s="52">
        <v>257.80439999999999</v>
      </c>
      <c r="K125" s="52">
        <v>773.41330000000005</v>
      </c>
      <c r="L125" s="52">
        <v>257.80439999999999</v>
      </c>
      <c r="M125" s="52">
        <v>257.80439999999999</v>
      </c>
      <c r="N125" s="5" t="s">
        <v>69</v>
      </c>
    </row>
    <row r="126" spans="1:14" x14ac:dyDescent="0.25">
      <c r="A126" s="51">
        <v>0.91500000000000004</v>
      </c>
      <c r="B126" s="52">
        <v>2580.8649999999998</v>
      </c>
      <c r="C126" s="52">
        <v>129.04329999999999</v>
      </c>
      <c r="D126" s="52">
        <v>64.521600000000007</v>
      </c>
      <c r="E126" s="52">
        <v>64.521600000000007</v>
      </c>
      <c r="F126" s="52">
        <v>258.0865</v>
      </c>
      <c r="G126" s="52">
        <v>129.04329999999999</v>
      </c>
      <c r="H126" s="52">
        <v>129.04329999999999</v>
      </c>
      <c r="I126" s="52">
        <v>258.0865</v>
      </c>
      <c r="J126" s="52">
        <v>258.0865</v>
      </c>
      <c r="K126" s="52">
        <v>774.2595</v>
      </c>
      <c r="L126" s="52">
        <v>258.0865</v>
      </c>
      <c r="M126" s="52">
        <v>258.0865</v>
      </c>
      <c r="N126" s="5" t="s">
        <v>69</v>
      </c>
    </row>
    <row r="127" spans="1:14" x14ac:dyDescent="0.25">
      <c r="A127" s="51">
        <v>0.91600000000000004</v>
      </c>
      <c r="B127" s="52">
        <v>2583.6855999999998</v>
      </c>
      <c r="C127" s="52">
        <v>129.18430000000001</v>
      </c>
      <c r="D127" s="52">
        <v>64.592100000000002</v>
      </c>
      <c r="E127" s="52">
        <v>64.592100000000002</v>
      </c>
      <c r="F127" s="52">
        <v>258.36860000000001</v>
      </c>
      <c r="G127" s="52">
        <v>129.18430000000001</v>
      </c>
      <c r="H127" s="52">
        <v>129.18430000000001</v>
      </c>
      <c r="I127" s="52">
        <v>258.36860000000001</v>
      </c>
      <c r="J127" s="52">
        <v>258.36860000000001</v>
      </c>
      <c r="K127" s="52">
        <v>775.10569999999996</v>
      </c>
      <c r="L127" s="52">
        <v>258.36860000000001</v>
      </c>
      <c r="M127" s="52">
        <v>258.36860000000001</v>
      </c>
      <c r="N127" s="5" t="s">
        <v>69</v>
      </c>
    </row>
    <row r="128" spans="1:14" x14ac:dyDescent="0.25">
      <c r="A128" s="51">
        <v>0.91700000000000004</v>
      </c>
      <c r="B128" s="52">
        <v>2586.5061999999998</v>
      </c>
      <c r="C128" s="52">
        <v>129.3253</v>
      </c>
      <c r="D128" s="52">
        <v>64.662700000000001</v>
      </c>
      <c r="E128" s="52">
        <v>64.662700000000001</v>
      </c>
      <c r="F128" s="52">
        <v>258.6506</v>
      </c>
      <c r="G128" s="52">
        <v>129.3253</v>
      </c>
      <c r="H128" s="52">
        <v>129.3253</v>
      </c>
      <c r="I128" s="52">
        <v>258.6506</v>
      </c>
      <c r="J128" s="52">
        <v>258.6506</v>
      </c>
      <c r="K128" s="52">
        <v>775.95190000000002</v>
      </c>
      <c r="L128" s="52">
        <v>258.6506</v>
      </c>
      <c r="M128" s="52">
        <v>258.6506</v>
      </c>
      <c r="N128" s="5" t="s">
        <v>69</v>
      </c>
    </row>
    <row r="129" spans="1:14" x14ac:dyDescent="0.25">
      <c r="A129" s="51">
        <v>0.91800000000000004</v>
      </c>
      <c r="B129" s="52">
        <v>2589.3269</v>
      </c>
      <c r="C129" s="52">
        <v>129.46629999999999</v>
      </c>
      <c r="D129" s="52">
        <v>64.733199999999997</v>
      </c>
      <c r="E129" s="52">
        <v>64.733199999999997</v>
      </c>
      <c r="F129" s="52">
        <v>258.93270000000001</v>
      </c>
      <c r="G129" s="52">
        <v>129.46629999999999</v>
      </c>
      <c r="H129" s="52">
        <v>129.46629999999999</v>
      </c>
      <c r="I129" s="52">
        <v>258.93270000000001</v>
      </c>
      <c r="J129" s="52">
        <v>258.93270000000001</v>
      </c>
      <c r="K129" s="52">
        <v>776.79809999999998</v>
      </c>
      <c r="L129" s="52">
        <v>258.93270000000001</v>
      </c>
      <c r="M129" s="52">
        <v>258.93270000000001</v>
      </c>
      <c r="N129" s="5" t="s">
        <v>69</v>
      </c>
    </row>
    <row r="130" spans="1:14" x14ac:dyDescent="0.25">
      <c r="A130" s="51">
        <v>0.91900000000000004</v>
      </c>
      <c r="B130" s="52">
        <v>2592.1475</v>
      </c>
      <c r="C130" s="52">
        <v>129.60740000000001</v>
      </c>
      <c r="D130" s="52">
        <v>64.803700000000006</v>
      </c>
      <c r="E130" s="52">
        <v>64.803700000000006</v>
      </c>
      <c r="F130" s="52">
        <v>259.21469999999999</v>
      </c>
      <c r="G130" s="52">
        <v>129.60740000000001</v>
      </c>
      <c r="H130" s="52">
        <v>129.60740000000001</v>
      </c>
      <c r="I130" s="52">
        <v>259.21469999999999</v>
      </c>
      <c r="J130" s="52">
        <v>259.21469999999999</v>
      </c>
      <c r="K130" s="52">
        <v>777.64419999999996</v>
      </c>
      <c r="L130" s="52">
        <v>259.21469999999999</v>
      </c>
      <c r="M130" s="52">
        <v>259.21469999999999</v>
      </c>
      <c r="N130" s="5" t="s">
        <v>69</v>
      </c>
    </row>
    <row r="131" spans="1:14" x14ac:dyDescent="0.25">
      <c r="A131" s="51">
        <v>0.92</v>
      </c>
      <c r="B131" s="52">
        <v>2594.9681</v>
      </c>
      <c r="C131" s="52">
        <v>129.7484</v>
      </c>
      <c r="D131" s="52">
        <v>64.874200000000002</v>
      </c>
      <c r="E131" s="52">
        <v>64.874200000000002</v>
      </c>
      <c r="F131" s="52">
        <v>259.49680000000001</v>
      </c>
      <c r="G131" s="52">
        <v>129.7484</v>
      </c>
      <c r="H131" s="52">
        <v>129.7484</v>
      </c>
      <c r="I131" s="52">
        <v>259.49680000000001</v>
      </c>
      <c r="J131" s="52">
        <v>259.49680000000001</v>
      </c>
      <c r="K131" s="52">
        <v>778.49040000000002</v>
      </c>
      <c r="L131" s="52">
        <v>259.49680000000001</v>
      </c>
      <c r="M131" s="52">
        <v>259.49680000000001</v>
      </c>
      <c r="N131" s="5" t="s">
        <v>69</v>
      </c>
    </row>
    <row r="132" spans="1:14" x14ac:dyDescent="0.25">
      <c r="A132" s="51">
        <v>0.92100000000000004</v>
      </c>
      <c r="B132" s="52">
        <v>2597.7887000000001</v>
      </c>
      <c r="C132" s="52">
        <v>129.88939999999999</v>
      </c>
      <c r="D132" s="52">
        <v>64.944699999999997</v>
      </c>
      <c r="E132" s="52">
        <v>64.944699999999997</v>
      </c>
      <c r="F132" s="52">
        <v>259.77890000000002</v>
      </c>
      <c r="G132" s="52">
        <v>129.88939999999999</v>
      </c>
      <c r="H132" s="52">
        <v>129.88939999999999</v>
      </c>
      <c r="I132" s="52">
        <v>259.77890000000002</v>
      </c>
      <c r="J132" s="52">
        <v>259.77890000000002</v>
      </c>
      <c r="K132" s="52">
        <v>779.33659999999998</v>
      </c>
      <c r="L132" s="52">
        <v>259.77890000000002</v>
      </c>
      <c r="M132" s="52">
        <v>259.77890000000002</v>
      </c>
      <c r="N132" s="5" t="s">
        <v>69</v>
      </c>
    </row>
    <row r="133" spans="1:14" x14ac:dyDescent="0.25">
      <c r="A133" s="51">
        <v>0.92200000000000004</v>
      </c>
      <c r="B133" s="52">
        <v>2600.6093000000001</v>
      </c>
      <c r="C133" s="52">
        <v>130.03049999999999</v>
      </c>
      <c r="D133" s="52">
        <v>65.015199999999993</v>
      </c>
      <c r="E133" s="52">
        <v>65.015199999999993</v>
      </c>
      <c r="F133" s="52">
        <v>260.0609</v>
      </c>
      <c r="G133" s="52">
        <v>130.03049999999999</v>
      </c>
      <c r="H133" s="52">
        <v>130.03049999999999</v>
      </c>
      <c r="I133" s="52">
        <v>260.0609</v>
      </c>
      <c r="J133" s="52">
        <v>260.0609</v>
      </c>
      <c r="K133" s="52">
        <v>780.18280000000004</v>
      </c>
      <c r="L133" s="52">
        <v>260.0609</v>
      </c>
      <c r="M133" s="52">
        <v>260.0609</v>
      </c>
      <c r="N133" s="5" t="s">
        <v>69</v>
      </c>
    </row>
    <row r="134" spans="1:14" x14ac:dyDescent="0.25">
      <c r="A134" s="51">
        <v>0.92300000000000004</v>
      </c>
      <c r="B134" s="52">
        <v>2603.4299000000001</v>
      </c>
      <c r="C134" s="52">
        <v>130.17150000000001</v>
      </c>
      <c r="D134" s="52">
        <v>65.085700000000003</v>
      </c>
      <c r="E134" s="52">
        <v>65.085700000000003</v>
      </c>
      <c r="F134" s="52">
        <v>260.34300000000002</v>
      </c>
      <c r="G134" s="52">
        <v>130.17150000000001</v>
      </c>
      <c r="H134" s="52">
        <v>130.17150000000001</v>
      </c>
      <c r="I134" s="52">
        <v>260.34300000000002</v>
      </c>
      <c r="J134" s="52">
        <v>260.34300000000002</v>
      </c>
      <c r="K134" s="52">
        <v>781.029</v>
      </c>
      <c r="L134" s="52">
        <v>260.34300000000002</v>
      </c>
      <c r="M134" s="52">
        <v>260.34300000000002</v>
      </c>
      <c r="N134" s="5" t="s">
        <v>69</v>
      </c>
    </row>
    <row r="135" spans="1:14" x14ac:dyDescent="0.25">
      <c r="A135" s="51">
        <v>0.92400000000000004</v>
      </c>
      <c r="B135" s="52">
        <v>2606.2505999999998</v>
      </c>
      <c r="C135" s="52">
        <v>130.3125</v>
      </c>
      <c r="D135" s="52">
        <v>65.156300000000002</v>
      </c>
      <c r="E135" s="52">
        <v>65.156300000000002</v>
      </c>
      <c r="F135" s="52">
        <v>260.62509999999997</v>
      </c>
      <c r="G135" s="52">
        <v>130.3125</v>
      </c>
      <c r="H135" s="52">
        <v>130.3125</v>
      </c>
      <c r="I135" s="52">
        <v>260.62509999999997</v>
      </c>
      <c r="J135" s="52">
        <v>260.62509999999997</v>
      </c>
      <c r="K135" s="52">
        <v>781.87519999999995</v>
      </c>
      <c r="L135" s="52">
        <v>260.62509999999997</v>
      </c>
      <c r="M135" s="52">
        <v>260.62509999999997</v>
      </c>
      <c r="N135" s="5" t="s">
        <v>69</v>
      </c>
    </row>
    <row r="136" spans="1:14" x14ac:dyDescent="0.25">
      <c r="A136" s="51">
        <v>0.92500000000000004</v>
      </c>
      <c r="B136" s="52">
        <v>2609.0711999999999</v>
      </c>
      <c r="C136" s="52">
        <v>130.45359999999999</v>
      </c>
      <c r="D136" s="52">
        <v>65.226799999999997</v>
      </c>
      <c r="E136" s="52">
        <v>65.226799999999997</v>
      </c>
      <c r="F136" s="52">
        <v>260.90710000000001</v>
      </c>
      <c r="G136" s="52">
        <v>130.45359999999999</v>
      </c>
      <c r="H136" s="52">
        <v>130.45359999999999</v>
      </c>
      <c r="I136" s="52">
        <v>260.90710000000001</v>
      </c>
      <c r="J136" s="52">
        <v>260.90710000000001</v>
      </c>
      <c r="K136" s="52">
        <v>782.72140000000002</v>
      </c>
      <c r="L136" s="52">
        <v>260.90710000000001</v>
      </c>
      <c r="M136" s="52">
        <v>260.90710000000001</v>
      </c>
      <c r="N136" s="5" t="s">
        <v>69</v>
      </c>
    </row>
    <row r="137" spans="1:14" x14ac:dyDescent="0.25">
      <c r="A137" s="51">
        <v>0.92600000000000005</v>
      </c>
      <c r="B137" s="52">
        <v>2611.8917999999999</v>
      </c>
      <c r="C137" s="52">
        <v>130.59460000000001</v>
      </c>
      <c r="D137" s="52">
        <v>65.297300000000007</v>
      </c>
      <c r="E137" s="52">
        <v>65.297300000000007</v>
      </c>
      <c r="F137" s="52">
        <v>261.18920000000003</v>
      </c>
      <c r="G137" s="52">
        <v>130.59460000000001</v>
      </c>
      <c r="H137" s="52">
        <v>130.59460000000001</v>
      </c>
      <c r="I137" s="52">
        <v>261.18920000000003</v>
      </c>
      <c r="J137" s="52">
        <v>261.18920000000003</v>
      </c>
      <c r="K137" s="52">
        <v>783.5675</v>
      </c>
      <c r="L137" s="52">
        <v>261.18920000000003</v>
      </c>
      <c r="M137" s="52">
        <v>261.18920000000003</v>
      </c>
      <c r="N137" s="5" t="s">
        <v>69</v>
      </c>
    </row>
    <row r="138" spans="1:14" x14ac:dyDescent="0.25">
      <c r="A138" s="51">
        <v>0.92700000000000005</v>
      </c>
      <c r="B138" s="52">
        <v>2614.7123999999999</v>
      </c>
      <c r="C138" s="52">
        <v>130.73560000000001</v>
      </c>
      <c r="D138" s="52">
        <v>65.367800000000003</v>
      </c>
      <c r="E138" s="52">
        <v>65.367800000000003</v>
      </c>
      <c r="F138" s="52">
        <v>261.47120000000001</v>
      </c>
      <c r="G138" s="52">
        <v>130.73560000000001</v>
      </c>
      <c r="H138" s="52">
        <v>130.73560000000001</v>
      </c>
      <c r="I138" s="52">
        <v>261.47120000000001</v>
      </c>
      <c r="J138" s="52">
        <v>261.47120000000001</v>
      </c>
      <c r="K138" s="52">
        <v>784.41369999999995</v>
      </c>
      <c r="L138" s="52">
        <v>261.47120000000001</v>
      </c>
      <c r="M138" s="52">
        <v>261.47120000000001</v>
      </c>
      <c r="N138" s="5" t="s">
        <v>69</v>
      </c>
    </row>
    <row r="139" spans="1:14" x14ac:dyDescent="0.25">
      <c r="A139" s="51">
        <v>0.92800000000000005</v>
      </c>
      <c r="B139" s="52">
        <v>2617.5329999999999</v>
      </c>
      <c r="C139" s="52">
        <v>130.8767</v>
      </c>
      <c r="D139" s="52">
        <v>65.438299999999998</v>
      </c>
      <c r="E139" s="52">
        <v>65.438299999999998</v>
      </c>
      <c r="F139" s="52">
        <v>261.75330000000002</v>
      </c>
      <c r="G139" s="52">
        <v>130.8767</v>
      </c>
      <c r="H139" s="52">
        <v>130.8767</v>
      </c>
      <c r="I139" s="52">
        <v>261.75330000000002</v>
      </c>
      <c r="J139" s="52">
        <v>261.75330000000002</v>
      </c>
      <c r="K139" s="52">
        <v>785.25990000000002</v>
      </c>
      <c r="L139" s="52">
        <v>261.75330000000002</v>
      </c>
      <c r="M139" s="52">
        <v>261.75330000000002</v>
      </c>
      <c r="N139" s="5" t="s">
        <v>69</v>
      </c>
    </row>
    <row r="140" spans="1:14" x14ac:dyDescent="0.25">
      <c r="A140" s="51">
        <v>0.92900000000000005</v>
      </c>
      <c r="B140" s="52">
        <v>2620.3537000000001</v>
      </c>
      <c r="C140" s="52">
        <v>131.01769999999999</v>
      </c>
      <c r="D140" s="52">
        <v>65.508799999999994</v>
      </c>
      <c r="E140" s="52">
        <v>65.508799999999994</v>
      </c>
      <c r="F140" s="52">
        <v>262.03539999999998</v>
      </c>
      <c r="G140" s="52">
        <v>131.01769999999999</v>
      </c>
      <c r="H140" s="52">
        <v>131.01769999999999</v>
      </c>
      <c r="I140" s="52">
        <v>262.03539999999998</v>
      </c>
      <c r="J140" s="52">
        <v>262.03539999999998</v>
      </c>
      <c r="K140" s="52">
        <v>786.10609999999997</v>
      </c>
      <c r="L140" s="52">
        <v>262.03539999999998</v>
      </c>
      <c r="M140" s="52">
        <v>262.03539999999998</v>
      </c>
      <c r="N140" s="5" t="s">
        <v>69</v>
      </c>
    </row>
    <row r="141" spans="1:14" x14ac:dyDescent="0.25">
      <c r="A141" s="51">
        <v>0.93</v>
      </c>
      <c r="B141" s="52">
        <v>2623.1743000000001</v>
      </c>
      <c r="C141" s="52">
        <v>131.15870000000001</v>
      </c>
      <c r="D141" s="52">
        <v>65.579400000000007</v>
      </c>
      <c r="E141" s="52">
        <v>65.579400000000007</v>
      </c>
      <c r="F141" s="52">
        <v>262.31740000000002</v>
      </c>
      <c r="G141" s="52">
        <v>131.15870000000001</v>
      </c>
      <c r="H141" s="52">
        <v>131.15870000000001</v>
      </c>
      <c r="I141" s="52">
        <v>262.31740000000002</v>
      </c>
      <c r="J141" s="52">
        <v>262.31740000000002</v>
      </c>
      <c r="K141" s="52">
        <v>786.95230000000004</v>
      </c>
      <c r="L141" s="52">
        <v>262.31740000000002</v>
      </c>
      <c r="M141" s="52">
        <v>262.31740000000002</v>
      </c>
      <c r="N141" s="5" t="s">
        <v>69</v>
      </c>
    </row>
    <row r="142" spans="1:14" x14ac:dyDescent="0.25">
      <c r="A142" s="51">
        <v>0.93100000000000005</v>
      </c>
      <c r="B142" s="52">
        <v>2625.9949000000001</v>
      </c>
      <c r="C142" s="52">
        <v>131.2997</v>
      </c>
      <c r="D142" s="52">
        <v>65.649900000000002</v>
      </c>
      <c r="E142" s="52">
        <v>65.649900000000002</v>
      </c>
      <c r="F142" s="52">
        <v>262.59949999999998</v>
      </c>
      <c r="G142" s="52">
        <v>131.2997</v>
      </c>
      <c r="H142" s="52">
        <v>131.2997</v>
      </c>
      <c r="I142" s="52">
        <v>262.59949999999998</v>
      </c>
      <c r="J142" s="52">
        <v>262.59949999999998</v>
      </c>
      <c r="K142" s="52">
        <v>787.79849999999999</v>
      </c>
      <c r="L142" s="52">
        <v>262.59949999999998</v>
      </c>
      <c r="M142" s="52">
        <v>262.59949999999998</v>
      </c>
      <c r="N142" s="5" t="s">
        <v>69</v>
      </c>
    </row>
    <row r="143" spans="1:14" x14ac:dyDescent="0.25">
      <c r="A143" s="51">
        <v>0.93200000000000005</v>
      </c>
      <c r="B143" s="52">
        <v>2628.8155000000002</v>
      </c>
      <c r="C143" s="52">
        <v>131.4408</v>
      </c>
      <c r="D143" s="52">
        <v>65.720399999999998</v>
      </c>
      <c r="E143" s="52">
        <v>65.720399999999998</v>
      </c>
      <c r="F143" s="52">
        <v>262.88159999999999</v>
      </c>
      <c r="G143" s="52">
        <v>131.4408</v>
      </c>
      <c r="H143" s="52">
        <v>131.4408</v>
      </c>
      <c r="I143" s="52">
        <v>262.88159999999999</v>
      </c>
      <c r="J143" s="52">
        <v>262.88159999999999</v>
      </c>
      <c r="K143" s="52">
        <v>788.64469999999994</v>
      </c>
      <c r="L143" s="52">
        <v>262.88159999999999</v>
      </c>
      <c r="M143" s="52">
        <v>262.88159999999999</v>
      </c>
      <c r="N143" s="5" t="s">
        <v>69</v>
      </c>
    </row>
    <row r="144" spans="1:14" x14ac:dyDescent="0.25">
      <c r="A144" s="51">
        <v>0.93300000000000005</v>
      </c>
      <c r="B144" s="52">
        <v>2631.6361000000002</v>
      </c>
      <c r="C144" s="52">
        <v>131.58179999999999</v>
      </c>
      <c r="D144" s="52">
        <v>65.790899999999993</v>
      </c>
      <c r="E144" s="52">
        <v>65.790899999999993</v>
      </c>
      <c r="F144" s="52">
        <v>263.16359999999997</v>
      </c>
      <c r="G144" s="52">
        <v>131.58179999999999</v>
      </c>
      <c r="H144" s="52">
        <v>131.58179999999999</v>
      </c>
      <c r="I144" s="52">
        <v>263.16359999999997</v>
      </c>
      <c r="J144" s="52">
        <v>263.16359999999997</v>
      </c>
      <c r="K144" s="52">
        <v>789.49080000000004</v>
      </c>
      <c r="L144" s="52">
        <v>263.16359999999997</v>
      </c>
      <c r="M144" s="52">
        <v>263.16359999999997</v>
      </c>
      <c r="N144" s="5" t="s">
        <v>69</v>
      </c>
    </row>
    <row r="145" spans="1:14" x14ac:dyDescent="0.25">
      <c r="A145" s="51">
        <v>0.93400000000000005</v>
      </c>
      <c r="B145" s="52">
        <v>2634.4567000000002</v>
      </c>
      <c r="C145" s="52">
        <v>131.72280000000001</v>
      </c>
      <c r="D145" s="52">
        <v>65.861400000000003</v>
      </c>
      <c r="E145" s="52">
        <v>65.861400000000003</v>
      </c>
      <c r="F145" s="52">
        <v>263.44569999999999</v>
      </c>
      <c r="G145" s="52">
        <v>131.72280000000001</v>
      </c>
      <c r="H145" s="52">
        <v>131.72280000000001</v>
      </c>
      <c r="I145" s="52">
        <v>263.44569999999999</v>
      </c>
      <c r="J145" s="52">
        <v>263.44569999999999</v>
      </c>
      <c r="K145" s="52">
        <v>790.33699999999999</v>
      </c>
      <c r="L145" s="52">
        <v>263.44569999999999</v>
      </c>
      <c r="M145" s="52">
        <v>263.44569999999999</v>
      </c>
      <c r="N145" s="5" t="s">
        <v>69</v>
      </c>
    </row>
    <row r="146" spans="1:14" x14ac:dyDescent="0.25">
      <c r="A146" s="51">
        <v>0.93500000000000005</v>
      </c>
      <c r="B146" s="52">
        <v>2637.2773999999999</v>
      </c>
      <c r="C146" s="52">
        <v>131.8639</v>
      </c>
      <c r="D146" s="52">
        <v>65.931899999999999</v>
      </c>
      <c r="E146" s="52">
        <v>65.931899999999999</v>
      </c>
      <c r="F146" s="52">
        <v>263.72770000000003</v>
      </c>
      <c r="G146" s="52">
        <v>131.8639</v>
      </c>
      <c r="H146" s="52">
        <v>131.8639</v>
      </c>
      <c r="I146" s="52">
        <v>263.72770000000003</v>
      </c>
      <c r="J146" s="52">
        <v>263.72770000000003</v>
      </c>
      <c r="K146" s="52">
        <v>791.18320000000006</v>
      </c>
      <c r="L146" s="52">
        <v>263.72770000000003</v>
      </c>
      <c r="M146" s="52">
        <v>263.72770000000003</v>
      </c>
      <c r="N146" s="5" t="s">
        <v>69</v>
      </c>
    </row>
    <row r="147" spans="1:14" x14ac:dyDescent="0.25">
      <c r="A147" s="51">
        <v>0.93600000000000005</v>
      </c>
      <c r="B147" s="52">
        <v>2640.098</v>
      </c>
      <c r="C147" s="52">
        <v>132.00489999999999</v>
      </c>
      <c r="D147" s="52">
        <v>66.002399999999994</v>
      </c>
      <c r="E147" s="52">
        <v>66.002399999999994</v>
      </c>
      <c r="F147" s="52">
        <v>264.00979999999998</v>
      </c>
      <c r="G147" s="52">
        <v>132.00489999999999</v>
      </c>
      <c r="H147" s="52">
        <v>132.00489999999999</v>
      </c>
      <c r="I147" s="52">
        <v>264.00979999999998</v>
      </c>
      <c r="J147" s="52">
        <v>264.00979999999998</v>
      </c>
      <c r="K147" s="52">
        <v>792.02940000000001</v>
      </c>
      <c r="L147" s="52">
        <v>264.00979999999998</v>
      </c>
      <c r="M147" s="52">
        <v>264.00979999999998</v>
      </c>
      <c r="N147" s="5" t="s">
        <v>69</v>
      </c>
    </row>
    <row r="148" spans="1:14" x14ac:dyDescent="0.25">
      <c r="A148" s="51">
        <v>0.93700000000000006</v>
      </c>
      <c r="B148" s="52">
        <v>2642.9186</v>
      </c>
      <c r="C148" s="52">
        <v>132.14590000000001</v>
      </c>
      <c r="D148" s="52">
        <v>66.072999999999993</v>
      </c>
      <c r="E148" s="52">
        <v>66.072999999999993</v>
      </c>
      <c r="F148" s="52">
        <v>264.2919</v>
      </c>
      <c r="G148" s="52">
        <v>132.14590000000001</v>
      </c>
      <c r="H148" s="52">
        <v>132.14590000000001</v>
      </c>
      <c r="I148" s="52">
        <v>264.2919</v>
      </c>
      <c r="J148" s="52">
        <v>264.2919</v>
      </c>
      <c r="K148" s="52">
        <v>792.87559999999996</v>
      </c>
      <c r="L148" s="52">
        <v>264.2919</v>
      </c>
      <c r="M148" s="52">
        <v>264.2919</v>
      </c>
      <c r="N148" s="5" t="s">
        <v>69</v>
      </c>
    </row>
    <row r="149" spans="1:14" x14ac:dyDescent="0.25">
      <c r="A149" s="51">
        <v>0.93799999999999994</v>
      </c>
      <c r="B149" s="52">
        <v>2645.7392</v>
      </c>
      <c r="C149" s="52">
        <v>132.28700000000001</v>
      </c>
      <c r="D149" s="52">
        <v>66.143500000000003</v>
      </c>
      <c r="E149" s="52">
        <v>66.143500000000003</v>
      </c>
      <c r="F149" s="52">
        <v>264.57389999999998</v>
      </c>
      <c r="G149" s="52">
        <v>132.28700000000001</v>
      </c>
      <c r="H149" s="52">
        <v>132.28700000000001</v>
      </c>
      <c r="I149" s="52">
        <v>264.57389999999998</v>
      </c>
      <c r="J149" s="52">
        <v>264.57389999999998</v>
      </c>
      <c r="K149" s="52">
        <v>793.72180000000003</v>
      </c>
      <c r="L149" s="52">
        <v>264.57389999999998</v>
      </c>
      <c r="M149" s="52">
        <v>264.57389999999998</v>
      </c>
      <c r="N149" s="5" t="s">
        <v>69</v>
      </c>
    </row>
    <row r="150" spans="1:14" x14ac:dyDescent="0.25">
      <c r="A150" s="51">
        <v>0.93899999999999995</v>
      </c>
      <c r="B150" s="52">
        <v>2648.5598</v>
      </c>
      <c r="C150" s="52">
        <v>132.428</v>
      </c>
      <c r="D150" s="52">
        <v>66.213999999999999</v>
      </c>
      <c r="E150" s="52">
        <v>66.213999999999999</v>
      </c>
      <c r="F150" s="52">
        <v>264.85599999999999</v>
      </c>
      <c r="G150" s="52">
        <v>132.428</v>
      </c>
      <c r="H150" s="52">
        <v>132.428</v>
      </c>
      <c r="I150" s="52">
        <v>264.85599999999999</v>
      </c>
      <c r="J150" s="52">
        <v>264.85599999999999</v>
      </c>
      <c r="K150" s="52">
        <v>794.56790000000001</v>
      </c>
      <c r="L150" s="52">
        <v>264.85599999999999</v>
      </c>
      <c r="M150" s="52">
        <v>264.85599999999999</v>
      </c>
      <c r="N150" s="5" t="s">
        <v>69</v>
      </c>
    </row>
    <row r="151" spans="1:14" x14ac:dyDescent="0.25">
      <c r="A151" s="51">
        <v>0.94</v>
      </c>
      <c r="B151" s="52">
        <v>2651.3804</v>
      </c>
      <c r="C151" s="52">
        <v>132.56899999999999</v>
      </c>
      <c r="D151" s="52">
        <v>66.284499999999994</v>
      </c>
      <c r="E151" s="52">
        <v>66.284499999999994</v>
      </c>
      <c r="F151" s="52">
        <v>265.13799999999998</v>
      </c>
      <c r="G151" s="52">
        <v>132.56899999999999</v>
      </c>
      <c r="H151" s="52">
        <v>132.56899999999999</v>
      </c>
      <c r="I151" s="52">
        <v>265.13799999999998</v>
      </c>
      <c r="J151" s="52">
        <v>265.13799999999998</v>
      </c>
      <c r="K151" s="52">
        <v>795.41409999999996</v>
      </c>
      <c r="L151" s="52">
        <v>265.13799999999998</v>
      </c>
      <c r="M151" s="52">
        <v>265.13799999999998</v>
      </c>
      <c r="N151" s="5" t="s">
        <v>69</v>
      </c>
    </row>
    <row r="152" spans="1:14" x14ac:dyDescent="0.25">
      <c r="A152" s="51">
        <v>0.94099999999999995</v>
      </c>
      <c r="B152" s="52">
        <v>2654.2011000000002</v>
      </c>
      <c r="C152" s="52">
        <v>132.71010000000001</v>
      </c>
      <c r="D152" s="52">
        <v>66.355000000000004</v>
      </c>
      <c r="E152" s="52">
        <v>66.355000000000004</v>
      </c>
      <c r="F152" s="52">
        <v>265.42009999999999</v>
      </c>
      <c r="G152" s="52">
        <v>132.71010000000001</v>
      </c>
      <c r="H152" s="52">
        <v>132.71010000000001</v>
      </c>
      <c r="I152" s="52">
        <v>265.42009999999999</v>
      </c>
      <c r="J152" s="52">
        <v>265.42009999999999</v>
      </c>
      <c r="K152" s="52">
        <v>796.26030000000003</v>
      </c>
      <c r="L152" s="52">
        <v>265.42009999999999</v>
      </c>
      <c r="M152" s="52">
        <v>265.42009999999999</v>
      </c>
      <c r="N152" s="5" t="s">
        <v>69</v>
      </c>
    </row>
    <row r="153" spans="1:14" x14ac:dyDescent="0.25">
      <c r="A153" s="51">
        <v>0.94199999999999995</v>
      </c>
      <c r="B153" s="52">
        <v>2657.0216999999998</v>
      </c>
      <c r="C153" s="52">
        <v>132.8511</v>
      </c>
      <c r="D153" s="52">
        <v>66.4255</v>
      </c>
      <c r="E153" s="52">
        <v>66.4255</v>
      </c>
      <c r="F153" s="52">
        <v>265.7022</v>
      </c>
      <c r="G153" s="52">
        <v>132.8511</v>
      </c>
      <c r="H153" s="52">
        <v>132.8511</v>
      </c>
      <c r="I153" s="52">
        <v>265.7022</v>
      </c>
      <c r="J153" s="52">
        <v>265.7022</v>
      </c>
      <c r="K153" s="52">
        <v>797.10649999999998</v>
      </c>
      <c r="L153" s="52">
        <v>265.7022</v>
      </c>
      <c r="M153" s="52">
        <v>265.7022</v>
      </c>
      <c r="N153" s="5" t="s">
        <v>69</v>
      </c>
    </row>
    <row r="154" spans="1:14" x14ac:dyDescent="0.25">
      <c r="A154" s="51">
        <v>0.94299999999999995</v>
      </c>
      <c r="B154" s="52">
        <v>2659.8422999999998</v>
      </c>
      <c r="C154" s="52">
        <v>132.99209999999999</v>
      </c>
      <c r="D154" s="52">
        <v>66.496099999999998</v>
      </c>
      <c r="E154" s="52">
        <v>66.496099999999998</v>
      </c>
      <c r="F154" s="52">
        <v>265.98419999999999</v>
      </c>
      <c r="G154" s="52">
        <v>132.99209999999999</v>
      </c>
      <c r="H154" s="52">
        <v>132.99209999999999</v>
      </c>
      <c r="I154" s="52">
        <v>265.98419999999999</v>
      </c>
      <c r="J154" s="52">
        <v>265.98419999999999</v>
      </c>
      <c r="K154" s="52">
        <v>797.95270000000005</v>
      </c>
      <c r="L154" s="52">
        <v>265.98419999999999</v>
      </c>
      <c r="M154" s="52">
        <v>265.98419999999999</v>
      </c>
      <c r="N154" s="5" t="s">
        <v>69</v>
      </c>
    </row>
    <row r="155" spans="1:14" x14ac:dyDescent="0.25">
      <c r="A155" s="51">
        <v>0.94399999999999995</v>
      </c>
      <c r="B155" s="52">
        <v>2662.6628999999998</v>
      </c>
      <c r="C155" s="52">
        <v>133.13310000000001</v>
      </c>
      <c r="D155" s="52">
        <v>66.566599999999994</v>
      </c>
      <c r="E155" s="52">
        <v>66.566599999999994</v>
      </c>
      <c r="F155" s="52">
        <v>266.2663</v>
      </c>
      <c r="G155" s="52">
        <v>133.13310000000001</v>
      </c>
      <c r="H155" s="52">
        <v>133.13310000000001</v>
      </c>
      <c r="I155" s="52">
        <v>266.2663</v>
      </c>
      <c r="J155" s="52">
        <v>266.2663</v>
      </c>
      <c r="K155" s="52">
        <v>798.7989</v>
      </c>
      <c r="L155" s="52">
        <v>266.2663</v>
      </c>
      <c r="M155" s="52">
        <v>266.2663</v>
      </c>
      <c r="N155" s="5" t="s">
        <v>69</v>
      </c>
    </row>
    <row r="156" spans="1:14" x14ac:dyDescent="0.25">
      <c r="A156" s="51">
        <v>0.94499999999999995</v>
      </c>
      <c r="B156" s="52">
        <v>2665.4834999999998</v>
      </c>
      <c r="C156" s="52">
        <v>133.27420000000001</v>
      </c>
      <c r="D156" s="52">
        <v>66.637100000000004</v>
      </c>
      <c r="E156" s="52">
        <v>66.637100000000004</v>
      </c>
      <c r="F156" s="52">
        <v>266.54840000000002</v>
      </c>
      <c r="G156" s="52">
        <v>133.27420000000001</v>
      </c>
      <c r="H156" s="52">
        <v>133.27420000000001</v>
      </c>
      <c r="I156" s="52">
        <v>266.54840000000002</v>
      </c>
      <c r="J156" s="52">
        <v>266.54840000000002</v>
      </c>
      <c r="K156" s="52">
        <v>799.64509999999996</v>
      </c>
      <c r="L156" s="52">
        <v>266.54840000000002</v>
      </c>
      <c r="M156" s="52">
        <v>266.54840000000002</v>
      </c>
      <c r="N156" s="5" t="s">
        <v>69</v>
      </c>
    </row>
    <row r="157" spans="1:14" x14ac:dyDescent="0.25">
      <c r="A157" s="51">
        <v>0.94599999999999995</v>
      </c>
      <c r="B157" s="52">
        <v>2668.3040999999998</v>
      </c>
      <c r="C157" s="52">
        <v>133.4152</v>
      </c>
      <c r="D157" s="52">
        <v>66.707599999999999</v>
      </c>
      <c r="E157" s="52">
        <v>66.707599999999999</v>
      </c>
      <c r="F157" s="52">
        <v>266.8304</v>
      </c>
      <c r="G157" s="52">
        <v>133.4152</v>
      </c>
      <c r="H157" s="52">
        <v>133.4152</v>
      </c>
      <c r="I157" s="52">
        <v>266.8304</v>
      </c>
      <c r="J157" s="52">
        <v>266.8304</v>
      </c>
      <c r="K157" s="52">
        <v>800.49120000000005</v>
      </c>
      <c r="L157" s="52">
        <v>266.8304</v>
      </c>
      <c r="M157" s="52">
        <v>266.8304</v>
      </c>
      <c r="N157" s="5" t="s">
        <v>69</v>
      </c>
    </row>
    <row r="158" spans="1:14" x14ac:dyDescent="0.25">
      <c r="A158" s="51">
        <v>0.94699999999999995</v>
      </c>
      <c r="B158" s="52">
        <v>2671.1248000000001</v>
      </c>
      <c r="C158" s="52">
        <v>133.55619999999999</v>
      </c>
      <c r="D158" s="52">
        <v>66.778099999999995</v>
      </c>
      <c r="E158" s="52">
        <v>66.778099999999995</v>
      </c>
      <c r="F158" s="52">
        <v>267.11250000000001</v>
      </c>
      <c r="G158" s="52">
        <v>133.55619999999999</v>
      </c>
      <c r="H158" s="52">
        <v>133.55619999999999</v>
      </c>
      <c r="I158" s="52">
        <v>267.11250000000001</v>
      </c>
      <c r="J158" s="52">
        <v>267.11250000000001</v>
      </c>
      <c r="K158" s="52">
        <v>801.3374</v>
      </c>
      <c r="L158" s="52">
        <v>267.11250000000001</v>
      </c>
      <c r="M158" s="52">
        <v>267.11250000000001</v>
      </c>
      <c r="N158" s="5" t="s">
        <v>69</v>
      </c>
    </row>
    <row r="159" spans="1:14" x14ac:dyDescent="0.25">
      <c r="A159" s="51">
        <v>0.94799999999999995</v>
      </c>
      <c r="B159" s="52">
        <v>2673.9454000000001</v>
      </c>
      <c r="C159" s="52">
        <v>133.69730000000001</v>
      </c>
      <c r="D159" s="52">
        <v>66.848600000000005</v>
      </c>
      <c r="E159" s="52">
        <v>66.848600000000005</v>
      </c>
      <c r="F159" s="52">
        <v>267.39449999999999</v>
      </c>
      <c r="G159" s="52">
        <v>133.69730000000001</v>
      </c>
      <c r="H159" s="52">
        <v>133.69730000000001</v>
      </c>
      <c r="I159" s="52">
        <v>267.39449999999999</v>
      </c>
      <c r="J159" s="52">
        <v>267.39449999999999</v>
      </c>
      <c r="K159" s="52">
        <v>802.18359999999996</v>
      </c>
      <c r="L159" s="52">
        <v>267.39449999999999</v>
      </c>
      <c r="M159" s="52">
        <v>267.39449999999999</v>
      </c>
      <c r="N159" s="5" t="s">
        <v>69</v>
      </c>
    </row>
    <row r="160" spans="1:14" x14ac:dyDescent="0.25">
      <c r="A160" s="51">
        <v>0.94899999999999995</v>
      </c>
      <c r="B160" s="52">
        <v>2676.7660000000001</v>
      </c>
      <c r="C160" s="52">
        <v>133.8383</v>
      </c>
      <c r="D160" s="52">
        <v>66.919200000000004</v>
      </c>
      <c r="E160" s="52">
        <v>66.919200000000004</v>
      </c>
      <c r="F160" s="52">
        <v>267.67660000000001</v>
      </c>
      <c r="G160" s="52">
        <v>133.8383</v>
      </c>
      <c r="H160" s="52">
        <v>133.8383</v>
      </c>
      <c r="I160" s="52">
        <v>267.67660000000001</v>
      </c>
      <c r="J160" s="52">
        <v>267.67660000000001</v>
      </c>
      <c r="K160" s="52">
        <v>803.02980000000002</v>
      </c>
      <c r="L160" s="52">
        <v>267.67660000000001</v>
      </c>
      <c r="M160" s="52">
        <v>267.67660000000001</v>
      </c>
      <c r="N160" s="5" t="s">
        <v>69</v>
      </c>
    </row>
    <row r="161" spans="1:14" x14ac:dyDescent="0.25">
      <c r="A161" s="51">
        <v>0.95</v>
      </c>
      <c r="B161" s="52">
        <v>2679.5866000000001</v>
      </c>
      <c r="C161" s="52">
        <v>133.97929999999999</v>
      </c>
      <c r="D161" s="52">
        <v>66.989699999999999</v>
      </c>
      <c r="E161" s="52">
        <v>66.989699999999999</v>
      </c>
      <c r="F161" s="52">
        <v>267.95870000000002</v>
      </c>
      <c r="G161" s="52">
        <v>133.97929999999999</v>
      </c>
      <c r="H161" s="52">
        <v>133.97929999999999</v>
      </c>
      <c r="I161" s="52">
        <v>267.95870000000002</v>
      </c>
      <c r="J161" s="52">
        <v>267.95870000000002</v>
      </c>
      <c r="K161" s="52">
        <v>803.87599999999998</v>
      </c>
      <c r="L161" s="52">
        <v>267.95870000000002</v>
      </c>
      <c r="M161" s="52">
        <v>267.95870000000002</v>
      </c>
      <c r="N161" s="5" t="s">
        <v>69</v>
      </c>
    </row>
    <row r="162" spans="1:14" x14ac:dyDescent="0.25">
      <c r="A162" s="51">
        <v>0.95099999999999996</v>
      </c>
      <c r="B162" s="52">
        <v>2682.4072000000001</v>
      </c>
      <c r="C162" s="52">
        <v>134.12039999999999</v>
      </c>
      <c r="D162" s="52">
        <v>67.060199999999995</v>
      </c>
      <c r="E162" s="52">
        <v>67.060199999999995</v>
      </c>
      <c r="F162" s="52">
        <v>268.2407</v>
      </c>
      <c r="G162" s="52">
        <v>134.12039999999999</v>
      </c>
      <c r="H162" s="52">
        <v>134.12039999999999</v>
      </c>
      <c r="I162" s="52">
        <v>268.2407</v>
      </c>
      <c r="J162" s="52">
        <v>268.2407</v>
      </c>
      <c r="K162" s="52">
        <v>804.72220000000004</v>
      </c>
      <c r="L162" s="52">
        <v>268.2407</v>
      </c>
      <c r="M162" s="52">
        <v>268.2407</v>
      </c>
      <c r="N162" s="5" t="s">
        <v>69</v>
      </c>
    </row>
    <row r="163" spans="1:14" x14ac:dyDescent="0.25">
      <c r="A163" s="51">
        <v>0.95199999999999996</v>
      </c>
      <c r="B163" s="52">
        <v>2685.2278999999999</v>
      </c>
      <c r="C163" s="52">
        <v>134.26140000000001</v>
      </c>
      <c r="D163" s="52">
        <v>67.130700000000004</v>
      </c>
      <c r="E163" s="52">
        <v>67.130700000000004</v>
      </c>
      <c r="F163" s="52">
        <v>268.52280000000002</v>
      </c>
      <c r="G163" s="52">
        <v>134.26140000000001</v>
      </c>
      <c r="H163" s="52">
        <v>134.26140000000001</v>
      </c>
      <c r="I163" s="52">
        <v>268.52280000000002</v>
      </c>
      <c r="J163" s="52">
        <v>268.52280000000002</v>
      </c>
      <c r="K163" s="52">
        <v>805.5684</v>
      </c>
      <c r="L163" s="52">
        <v>268.52280000000002</v>
      </c>
      <c r="M163" s="52">
        <v>268.52280000000002</v>
      </c>
      <c r="N163" s="5" t="s">
        <v>69</v>
      </c>
    </row>
    <row r="164" spans="1:14" x14ac:dyDescent="0.25">
      <c r="A164" s="51">
        <v>0.95299999999999996</v>
      </c>
      <c r="B164" s="52">
        <v>2688.0484999999999</v>
      </c>
      <c r="C164" s="52">
        <v>134.4024</v>
      </c>
      <c r="D164" s="52">
        <v>67.2012</v>
      </c>
      <c r="E164" s="52">
        <v>67.2012</v>
      </c>
      <c r="F164" s="52">
        <v>268.8048</v>
      </c>
      <c r="G164" s="52">
        <v>134.4024</v>
      </c>
      <c r="H164" s="52">
        <v>134.4024</v>
      </c>
      <c r="I164" s="52">
        <v>268.8048</v>
      </c>
      <c r="J164" s="52">
        <v>268.8048</v>
      </c>
      <c r="K164" s="52">
        <v>806.41449999999998</v>
      </c>
      <c r="L164" s="52">
        <v>268.8048</v>
      </c>
      <c r="M164" s="52">
        <v>268.8048</v>
      </c>
      <c r="N164" s="5" t="s">
        <v>69</v>
      </c>
    </row>
    <row r="165" spans="1:14" x14ac:dyDescent="0.25">
      <c r="A165" s="51">
        <v>0.95399999999999996</v>
      </c>
      <c r="B165" s="52">
        <v>2690.8690999999999</v>
      </c>
      <c r="C165" s="52">
        <v>134.54349999999999</v>
      </c>
      <c r="D165" s="52">
        <v>67.271699999999996</v>
      </c>
      <c r="E165" s="52">
        <v>67.271699999999996</v>
      </c>
      <c r="F165" s="52">
        <v>269.08690000000001</v>
      </c>
      <c r="G165" s="52">
        <v>134.54349999999999</v>
      </c>
      <c r="H165" s="52">
        <v>134.54349999999999</v>
      </c>
      <c r="I165" s="52">
        <v>269.08690000000001</v>
      </c>
      <c r="J165" s="52">
        <v>269.08690000000001</v>
      </c>
      <c r="K165" s="52">
        <v>807.26070000000004</v>
      </c>
      <c r="L165" s="52">
        <v>269.08690000000001</v>
      </c>
      <c r="M165" s="52">
        <v>269.08690000000001</v>
      </c>
      <c r="N165" s="5" t="s">
        <v>69</v>
      </c>
    </row>
    <row r="166" spans="1:14" x14ac:dyDescent="0.25">
      <c r="A166" s="51">
        <v>0.95499999999999996</v>
      </c>
      <c r="B166" s="52">
        <v>2693.6896999999999</v>
      </c>
      <c r="C166" s="52">
        <v>134.68450000000001</v>
      </c>
      <c r="D166" s="52">
        <v>67.342200000000005</v>
      </c>
      <c r="E166" s="52">
        <v>67.342200000000005</v>
      </c>
      <c r="F166" s="52">
        <v>269.36900000000003</v>
      </c>
      <c r="G166" s="52">
        <v>134.68450000000001</v>
      </c>
      <c r="H166" s="52">
        <v>134.68450000000001</v>
      </c>
      <c r="I166" s="52">
        <v>269.36900000000003</v>
      </c>
      <c r="J166" s="52">
        <v>269.36900000000003</v>
      </c>
      <c r="K166" s="52">
        <v>808.1069</v>
      </c>
      <c r="L166" s="52">
        <v>269.36900000000003</v>
      </c>
      <c r="M166" s="52">
        <v>269.36900000000003</v>
      </c>
      <c r="N166" s="5" t="s">
        <v>69</v>
      </c>
    </row>
    <row r="167" spans="1:14" x14ac:dyDescent="0.25">
      <c r="A167" s="51">
        <v>0.95599999999999996</v>
      </c>
      <c r="B167" s="52">
        <v>2696.5102999999999</v>
      </c>
      <c r="C167" s="52">
        <v>134.82550000000001</v>
      </c>
      <c r="D167" s="52">
        <v>67.412800000000004</v>
      </c>
      <c r="E167" s="52">
        <v>67.412800000000004</v>
      </c>
      <c r="F167" s="52">
        <v>269.65100000000001</v>
      </c>
      <c r="G167" s="52">
        <v>134.82550000000001</v>
      </c>
      <c r="H167" s="52">
        <v>134.82550000000001</v>
      </c>
      <c r="I167" s="52">
        <v>269.65100000000001</v>
      </c>
      <c r="J167" s="52">
        <v>269.65100000000001</v>
      </c>
      <c r="K167" s="52">
        <v>808.95309999999995</v>
      </c>
      <c r="L167" s="52">
        <v>269.65100000000001</v>
      </c>
      <c r="M167" s="52">
        <v>269.65100000000001</v>
      </c>
      <c r="N167" s="5" t="s">
        <v>69</v>
      </c>
    </row>
    <row r="168" spans="1:14" x14ac:dyDescent="0.25">
      <c r="A168" s="51">
        <v>0.95699999999999996</v>
      </c>
      <c r="B168" s="52">
        <v>2699.3308999999999</v>
      </c>
      <c r="C168" s="52">
        <v>134.9665</v>
      </c>
      <c r="D168" s="52">
        <v>67.4833</v>
      </c>
      <c r="E168" s="52">
        <v>67.4833</v>
      </c>
      <c r="F168" s="52">
        <v>269.93310000000002</v>
      </c>
      <c r="G168" s="52">
        <v>134.9665</v>
      </c>
      <c r="H168" s="52">
        <v>134.9665</v>
      </c>
      <c r="I168" s="52">
        <v>269.93310000000002</v>
      </c>
      <c r="J168" s="52">
        <v>269.93310000000002</v>
      </c>
      <c r="K168" s="52">
        <v>809.79930000000002</v>
      </c>
      <c r="L168" s="52">
        <v>269.93310000000002</v>
      </c>
      <c r="M168" s="52">
        <v>269.93310000000002</v>
      </c>
      <c r="N168" s="5" t="s">
        <v>69</v>
      </c>
    </row>
    <row r="169" spans="1:14" x14ac:dyDescent="0.25">
      <c r="A169" s="51">
        <v>0.95799999999999996</v>
      </c>
      <c r="B169" s="52">
        <v>2702.1516000000001</v>
      </c>
      <c r="C169" s="52">
        <v>135.10759999999999</v>
      </c>
      <c r="D169" s="52">
        <v>67.553799999999995</v>
      </c>
      <c r="E169" s="52">
        <v>67.553799999999995</v>
      </c>
      <c r="F169" s="52">
        <v>270.21519999999998</v>
      </c>
      <c r="G169" s="52">
        <v>135.10759999999999</v>
      </c>
      <c r="H169" s="52">
        <v>135.10759999999999</v>
      </c>
      <c r="I169" s="52">
        <v>270.21519999999998</v>
      </c>
      <c r="J169" s="52">
        <v>270.21519999999998</v>
      </c>
      <c r="K169" s="52">
        <v>810.64549999999997</v>
      </c>
      <c r="L169" s="52">
        <v>270.21519999999998</v>
      </c>
      <c r="M169" s="52">
        <v>270.21519999999998</v>
      </c>
      <c r="N169" s="5" t="s">
        <v>69</v>
      </c>
    </row>
    <row r="170" spans="1:14" x14ac:dyDescent="0.25">
      <c r="A170" s="51">
        <v>0.95899999999999996</v>
      </c>
      <c r="B170" s="52">
        <v>2704.9722000000002</v>
      </c>
      <c r="C170" s="52">
        <v>135.24860000000001</v>
      </c>
      <c r="D170" s="52">
        <v>67.624300000000005</v>
      </c>
      <c r="E170" s="52">
        <v>67.624300000000005</v>
      </c>
      <c r="F170" s="52">
        <v>270.49720000000002</v>
      </c>
      <c r="G170" s="52">
        <v>135.24860000000001</v>
      </c>
      <c r="H170" s="52">
        <v>135.24860000000001</v>
      </c>
      <c r="I170" s="52">
        <v>270.49720000000002</v>
      </c>
      <c r="J170" s="52">
        <v>270.49720000000002</v>
      </c>
      <c r="K170" s="52">
        <v>811.49170000000004</v>
      </c>
      <c r="L170" s="52">
        <v>270.49720000000002</v>
      </c>
      <c r="M170" s="52">
        <v>270.49720000000002</v>
      </c>
      <c r="N170" s="5" t="s">
        <v>69</v>
      </c>
    </row>
    <row r="171" spans="1:14" x14ac:dyDescent="0.25">
      <c r="A171" s="51">
        <v>0.96</v>
      </c>
      <c r="B171" s="52">
        <v>2707.7928000000002</v>
      </c>
      <c r="C171" s="52">
        <v>135.3896</v>
      </c>
      <c r="D171" s="52">
        <v>67.694800000000001</v>
      </c>
      <c r="E171" s="52">
        <v>67.694800000000001</v>
      </c>
      <c r="F171" s="52">
        <v>270.77929999999998</v>
      </c>
      <c r="G171" s="52">
        <v>135.3896</v>
      </c>
      <c r="H171" s="52">
        <v>135.3896</v>
      </c>
      <c r="I171" s="52">
        <v>270.77929999999998</v>
      </c>
      <c r="J171" s="52">
        <v>270.77929999999998</v>
      </c>
      <c r="K171" s="52">
        <v>812.33780000000002</v>
      </c>
      <c r="L171" s="52">
        <v>270.77929999999998</v>
      </c>
      <c r="M171" s="52">
        <v>270.77929999999998</v>
      </c>
      <c r="N171" s="5" t="s">
        <v>69</v>
      </c>
    </row>
    <row r="172" spans="1:14" x14ac:dyDescent="0.25">
      <c r="A172" s="51">
        <v>0.96099999999999997</v>
      </c>
      <c r="B172" s="52">
        <v>2710.6134000000002</v>
      </c>
      <c r="C172" s="52">
        <v>135.5307</v>
      </c>
      <c r="D172" s="52">
        <v>67.765299999999996</v>
      </c>
      <c r="E172" s="52">
        <v>67.765299999999996</v>
      </c>
      <c r="F172" s="52">
        <v>271.06130000000002</v>
      </c>
      <c r="G172" s="52">
        <v>135.5307</v>
      </c>
      <c r="H172" s="52">
        <v>135.5307</v>
      </c>
      <c r="I172" s="52">
        <v>271.06130000000002</v>
      </c>
      <c r="J172" s="52">
        <v>271.06130000000002</v>
      </c>
      <c r="K172" s="52">
        <v>813.18399999999997</v>
      </c>
      <c r="L172" s="52">
        <v>271.06130000000002</v>
      </c>
      <c r="M172" s="52">
        <v>271.06130000000002</v>
      </c>
      <c r="N172" s="5" t="s">
        <v>69</v>
      </c>
    </row>
    <row r="173" spans="1:14" x14ac:dyDescent="0.25">
      <c r="A173" s="51">
        <v>0.96199999999999997</v>
      </c>
      <c r="B173" s="52">
        <v>2713.4340000000002</v>
      </c>
      <c r="C173" s="52">
        <v>135.67169999999999</v>
      </c>
      <c r="D173" s="52">
        <v>67.835899999999995</v>
      </c>
      <c r="E173" s="52">
        <v>67.835899999999995</v>
      </c>
      <c r="F173" s="52">
        <v>271.34339999999997</v>
      </c>
      <c r="G173" s="52">
        <v>135.67169999999999</v>
      </c>
      <c r="H173" s="52">
        <v>135.67169999999999</v>
      </c>
      <c r="I173" s="52">
        <v>271.34339999999997</v>
      </c>
      <c r="J173" s="52">
        <v>271.34339999999997</v>
      </c>
      <c r="K173" s="52">
        <v>814.03020000000004</v>
      </c>
      <c r="L173" s="52">
        <v>271.34339999999997</v>
      </c>
      <c r="M173" s="52">
        <v>271.34339999999997</v>
      </c>
      <c r="N173" s="5" t="s">
        <v>69</v>
      </c>
    </row>
    <row r="174" spans="1:14" x14ac:dyDescent="0.25">
      <c r="A174" s="51">
        <v>0.96299999999999997</v>
      </c>
      <c r="B174" s="52">
        <v>2716.2546000000002</v>
      </c>
      <c r="C174" s="52">
        <v>135.81270000000001</v>
      </c>
      <c r="D174" s="52">
        <v>67.906400000000005</v>
      </c>
      <c r="E174" s="52">
        <v>67.906400000000005</v>
      </c>
      <c r="F174" s="52">
        <v>271.62549999999999</v>
      </c>
      <c r="G174" s="52">
        <v>135.81270000000001</v>
      </c>
      <c r="H174" s="52">
        <v>135.81270000000001</v>
      </c>
      <c r="I174" s="52">
        <v>271.62549999999999</v>
      </c>
      <c r="J174" s="52">
        <v>271.62549999999999</v>
      </c>
      <c r="K174" s="52">
        <v>814.87639999999999</v>
      </c>
      <c r="L174" s="52">
        <v>271.62549999999999</v>
      </c>
      <c r="M174" s="52">
        <v>271.62549999999999</v>
      </c>
      <c r="N174" s="5" t="s">
        <v>69</v>
      </c>
    </row>
    <row r="175" spans="1:14" x14ac:dyDescent="0.25">
      <c r="A175" s="51">
        <v>0.96399999999999997</v>
      </c>
      <c r="B175" s="52">
        <v>2719.0753</v>
      </c>
      <c r="C175" s="52">
        <v>135.9538</v>
      </c>
      <c r="D175" s="52">
        <v>67.976900000000001</v>
      </c>
      <c r="E175" s="52">
        <v>67.976900000000001</v>
      </c>
      <c r="F175" s="52">
        <v>271.90750000000003</v>
      </c>
      <c r="G175" s="52">
        <v>135.9538</v>
      </c>
      <c r="H175" s="52">
        <v>135.9538</v>
      </c>
      <c r="I175" s="52">
        <v>271.90750000000003</v>
      </c>
      <c r="J175" s="52">
        <v>271.90750000000003</v>
      </c>
      <c r="K175" s="52">
        <v>815.72260000000006</v>
      </c>
      <c r="L175" s="52">
        <v>271.90750000000003</v>
      </c>
      <c r="M175" s="52">
        <v>271.90750000000003</v>
      </c>
      <c r="N175" s="5" t="s">
        <v>69</v>
      </c>
    </row>
    <row r="176" spans="1:14" x14ac:dyDescent="0.25">
      <c r="A176" s="51">
        <v>0.96499999999999997</v>
      </c>
      <c r="B176" s="52">
        <v>2721.8959</v>
      </c>
      <c r="C176" s="52">
        <v>136.09479999999999</v>
      </c>
      <c r="D176" s="52">
        <v>68.047399999999996</v>
      </c>
      <c r="E176" s="52">
        <v>68.047399999999996</v>
      </c>
      <c r="F176" s="52">
        <v>272.18959999999998</v>
      </c>
      <c r="G176" s="52">
        <v>136.09479999999999</v>
      </c>
      <c r="H176" s="52">
        <v>136.09479999999999</v>
      </c>
      <c r="I176" s="52">
        <v>272.18959999999998</v>
      </c>
      <c r="J176" s="52">
        <v>272.18959999999998</v>
      </c>
      <c r="K176" s="52">
        <v>816.56880000000001</v>
      </c>
      <c r="L176" s="52">
        <v>272.18959999999998</v>
      </c>
      <c r="M176" s="52">
        <v>272.18959999999998</v>
      </c>
      <c r="N176" s="5" t="s">
        <v>69</v>
      </c>
    </row>
    <row r="177" spans="1:14" x14ac:dyDescent="0.25">
      <c r="A177" s="51">
        <v>0.96599999999999997</v>
      </c>
      <c r="B177" s="52">
        <v>2724.7165</v>
      </c>
      <c r="C177" s="52">
        <v>136.23580000000001</v>
      </c>
      <c r="D177" s="52">
        <v>68.117900000000006</v>
      </c>
      <c r="E177" s="52">
        <v>68.117900000000006</v>
      </c>
      <c r="F177" s="52">
        <v>272.47160000000002</v>
      </c>
      <c r="G177" s="52">
        <v>136.23580000000001</v>
      </c>
      <c r="H177" s="52">
        <v>136.23580000000001</v>
      </c>
      <c r="I177" s="52">
        <v>272.47160000000002</v>
      </c>
      <c r="J177" s="52">
        <v>272.47160000000002</v>
      </c>
      <c r="K177" s="52">
        <v>817.41489999999999</v>
      </c>
      <c r="L177" s="52">
        <v>272.47160000000002</v>
      </c>
      <c r="M177" s="52">
        <v>272.47160000000002</v>
      </c>
      <c r="N177" s="5" t="s">
        <v>69</v>
      </c>
    </row>
    <row r="178" spans="1:14" x14ac:dyDescent="0.25">
      <c r="A178" s="51">
        <v>0.96699999999999997</v>
      </c>
      <c r="B178" s="52">
        <v>2727.5371</v>
      </c>
      <c r="C178" s="52">
        <v>136.37690000000001</v>
      </c>
      <c r="D178" s="52">
        <v>68.188400000000001</v>
      </c>
      <c r="E178" s="52">
        <v>68.188400000000001</v>
      </c>
      <c r="F178" s="52">
        <v>272.75369999999998</v>
      </c>
      <c r="G178" s="52">
        <v>136.37690000000001</v>
      </c>
      <c r="H178" s="52">
        <v>136.37690000000001</v>
      </c>
      <c r="I178" s="52">
        <v>272.75369999999998</v>
      </c>
      <c r="J178" s="52">
        <v>272.75369999999998</v>
      </c>
      <c r="K178" s="52">
        <v>818.26110000000006</v>
      </c>
      <c r="L178" s="52">
        <v>272.75369999999998</v>
      </c>
      <c r="M178" s="52">
        <v>272.75369999999998</v>
      </c>
      <c r="N178" s="5" t="s">
        <v>69</v>
      </c>
    </row>
    <row r="179" spans="1:14" x14ac:dyDescent="0.25">
      <c r="A179" s="51">
        <v>0.96799999999999997</v>
      </c>
      <c r="B179" s="52">
        <v>2730.3577</v>
      </c>
      <c r="C179" s="52">
        <v>136.5179</v>
      </c>
      <c r="D179" s="52">
        <v>68.258899999999997</v>
      </c>
      <c r="E179" s="52">
        <v>68.258899999999997</v>
      </c>
      <c r="F179" s="52">
        <v>273.03579999999999</v>
      </c>
      <c r="G179" s="52">
        <v>136.5179</v>
      </c>
      <c r="H179" s="52">
        <v>136.5179</v>
      </c>
      <c r="I179" s="52">
        <v>273.03579999999999</v>
      </c>
      <c r="J179" s="52">
        <v>273.03579999999999</v>
      </c>
      <c r="K179" s="52">
        <v>819.10730000000001</v>
      </c>
      <c r="L179" s="52">
        <v>273.03579999999999</v>
      </c>
      <c r="M179" s="52">
        <v>273.03579999999999</v>
      </c>
      <c r="N179" s="5" t="s">
        <v>69</v>
      </c>
    </row>
    <row r="180" spans="1:14" x14ac:dyDescent="0.25">
      <c r="A180" s="51">
        <v>0.96899999999999997</v>
      </c>
      <c r="B180" s="52">
        <v>2733.1783999999998</v>
      </c>
      <c r="C180" s="52">
        <v>136.65889999999999</v>
      </c>
      <c r="D180" s="52">
        <v>68.329499999999996</v>
      </c>
      <c r="E180" s="52">
        <v>68.329499999999996</v>
      </c>
      <c r="F180" s="52">
        <v>273.31779999999998</v>
      </c>
      <c r="G180" s="52">
        <v>136.65889999999999</v>
      </c>
      <c r="H180" s="52">
        <v>136.65889999999999</v>
      </c>
      <c r="I180" s="52">
        <v>273.31779999999998</v>
      </c>
      <c r="J180" s="52">
        <v>273.31779999999998</v>
      </c>
      <c r="K180" s="52">
        <v>819.95349999999996</v>
      </c>
      <c r="L180" s="52">
        <v>273.31779999999998</v>
      </c>
      <c r="M180" s="52">
        <v>273.31779999999998</v>
      </c>
      <c r="N180" s="5" t="s">
        <v>69</v>
      </c>
    </row>
    <row r="181" spans="1:14" x14ac:dyDescent="0.25">
      <c r="A181" s="51">
        <v>0.97</v>
      </c>
      <c r="B181" s="52">
        <v>2735.9989999999998</v>
      </c>
      <c r="C181" s="52">
        <v>136.79990000000001</v>
      </c>
      <c r="D181" s="52">
        <v>68.400000000000006</v>
      </c>
      <c r="E181" s="52">
        <v>68.400000000000006</v>
      </c>
      <c r="F181" s="52">
        <v>273.59989999999999</v>
      </c>
      <c r="G181" s="52">
        <v>136.79990000000001</v>
      </c>
      <c r="H181" s="52">
        <v>136.79990000000001</v>
      </c>
      <c r="I181" s="52">
        <v>273.59989999999999</v>
      </c>
      <c r="J181" s="52">
        <v>273.59989999999999</v>
      </c>
      <c r="K181" s="52">
        <v>820.79970000000003</v>
      </c>
      <c r="L181" s="52">
        <v>273.59989999999999</v>
      </c>
      <c r="M181" s="52">
        <v>273.59989999999999</v>
      </c>
      <c r="N181" s="5" t="s">
        <v>69</v>
      </c>
    </row>
    <row r="182" spans="1:14" x14ac:dyDescent="0.25">
      <c r="A182" s="51">
        <v>0.97099999999999997</v>
      </c>
      <c r="B182" s="52">
        <v>2738.8195999999998</v>
      </c>
      <c r="C182" s="52">
        <v>136.941</v>
      </c>
      <c r="D182" s="52">
        <v>68.470500000000001</v>
      </c>
      <c r="E182" s="52">
        <v>68.470500000000001</v>
      </c>
      <c r="F182" s="52">
        <v>273.88200000000001</v>
      </c>
      <c r="G182" s="52">
        <v>136.941</v>
      </c>
      <c r="H182" s="52">
        <v>136.941</v>
      </c>
      <c r="I182" s="52">
        <v>273.88200000000001</v>
      </c>
      <c r="J182" s="52">
        <v>273.88200000000001</v>
      </c>
      <c r="K182" s="52">
        <v>821.64589999999998</v>
      </c>
      <c r="L182" s="52">
        <v>273.88200000000001</v>
      </c>
      <c r="M182" s="52">
        <v>273.88200000000001</v>
      </c>
      <c r="N182" s="5" t="s">
        <v>69</v>
      </c>
    </row>
    <row r="183" spans="1:14" x14ac:dyDescent="0.25">
      <c r="A183" s="51">
        <v>0.97199999999999998</v>
      </c>
      <c r="B183" s="52">
        <v>2741.6401999999998</v>
      </c>
      <c r="C183" s="52">
        <v>137.08199999999999</v>
      </c>
      <c r="D183" s="52">
        <v>68.540999999999997</v>
      </c>
      <c r="E183" s="52">
        <v>68.540999999999997</v>
      </c>
      <c r="F183" s="52">
        <v>274.16399999999999</v>
      </c>
      <c r="G183" s="52">
        <v>137.08199999999999</v>
      </c>
      <c r="H183" s="52">
        <v>137.08199999999999</v>
      </c>
      <c r="I183" s="52">
        <v>274.16399999999999</v>
      </c>
      <c r="J183" s="52">
        <v>274.16399999999999</v>
      </c>
      <c r="K183" s="52">
        <v>822.49210000000005</v>
      </c>
      <c r="L183" s="52">
        <v>274.16399999999999</v>
      </c>
      <c r="M183" s="52">
        <v>274.16399999999999</v>
      </c>
      <c r="N183" s="5" t="s">
        <v>69</v>
      </c>
    </row>
    <row r="184" spans="1:14" x14ac:dyDescent="0.25">
      <c r="A184" s="51">
        <v>0.97299999999999998</v>
      </c>
      <c r="B184" s="52">
        <v>2744.4607999999998</v>
      </c>
      <c r="C184" s="52">
        <v>137.22300000000001</v>
      </c>
      <c r="D184" s="52">
        <v>68.611500000000007</v>
      </c>
      <c r="E184" s="52">
        <v>68.611500000000007</v>
      </c>
      <c r="F184" s="52">
        <v>274.4461</v>
      </c>
      <c r="G184" s="52">
        <v>137.22300000000001</v>
      </c>
      <c r="H184" s="52">
        <v>137.22300000000001</v>
      </c>
      <c r="I184" s="52">
        <v>274.4461</v>
      </c>
      <c r="J184" s="52">
        <v>274.4461</v>
      </c>
      <c r="K184" s="52">
        <v>823.33820000000003</v>
      </c>
      <c r="L184" s="52">
        <v>274.4461</v>
      </c>
      <c r="M184" s="52">
        <v>274.4461</v>
      </c>
      <c r="N184" s="5" t="s">
        <v>69</v>
      </c>
    </row>
    <row r="185" spans="1:14" x14ac:dyDescent="0.25">
      <c r="A185" s="51">
        <v>0.97399999999999998</v>
      </c>
      <c r="B185" s="52">
        <v>2747.2813999999998</v>
      </c>
      <c r="C185" s="52">
        <v>137.36410000000001</v>
      </c>
      <c r="D185" s="52">
        <v>68.682000000000002</v>
      </c>
      <c r="E185" s="52">
        <v>68.682000000000002</v>
      </c>
      <c r="F185" s="52">
        <v>274.72809999999998</v>
      </c>
      <c r="G185" s="52">
        <v>137.36410000000001</v>
      </c>
      <c r="H185" s="52">
        <v>137.36410000000001</v>
      </c>
      <c r="I185" s="52">
        <v>274.72809999999998</v>
      </c>
      <c r="J185" s="52">
        <v>274.72809999999998</v>
      </c>
      <c r="K185" s="52">
        <v>824.18439999999998</v>
      </c>
      <c r="L185" s="52">
        <v>274.72809999999998</v>
      </c>
      <c r="M185" s="52">
        <v>274.72809999999998</v>
      </c>
      <c r="N185" s="5" t="s">
        <v>69</v>
      </c>
    </row>
    <row r="186" spans="1:14" x14ac:dyDescent="0.25">
      <c r="A186" s="51">
        <v>0.97499999999999998</v>
      </c>
      <c r="B186" s="52">
        <v>2750.1021000000001</v>
      </c>
      <c r="C186" s="52">
        <v>137.5051</v>
      </c>
      <c r="D186" s="52">
        <v>68.752600000000001</v>
      </c>
      <c r="E186" s="52">
        <v>68.752600000000001</v>
      </c>
      <c r="F186" s="52">
        <v>275.0102</v>
      </c>
      <c r="G186" s="52">
        <v>137.5051</v>
      </c>
      <c r="H186" s="52">
        <v>137.5051</v>
      </c>
      <c r="I186" s="52">
        <v>275.0102</v>
      </c>
      <c r="J186" s="52">
        <v>275.0102</v>
      </c>
      <c r="K186" s="52">
        <v>825.03060000000005</v>
      </c>
      <c r="L186" s="52">
        <v>275.0102</v>
      </c>
      <c r="M186" s="52">
        <v>275.0102</v>
      </c>
      <c r="N186" s="5" t="s">
        <v>69</v>
      </c>
    </row>
    <row r="187" spans="1:14" x14ac:dyDescent="0.25">
      <c r="A187" s="51">
        <v>0.97599999999999998</v>
      </c>
      <c r="B187" s="52">
        <v>2752.9227000000001</v>
      </c>
      <c r="C187" s="52">
        <v>137.64609999999999</v>
      </c>
      <c r="D187" s="52">
        <v>68.823099999999997</v>
      </c>
      <c r="E187" s="52">
        <v>68.823099999999997</v>
      </c>
      <c r="F187" s="52">
        <v>275.29230000000001</v>
      </c>
      <c r="G187" s="52">
        <v>137.64609999999999</v>
      </c>
      <c r="H187" s="52">
        <v>137.64609999999999</v>
      </c>
      <c r="I187" s="52">
        <v>275.29230000000001</v>
      </c>
      <c r="J187" s="52">
        <v>275.29230000000001</v>
      </c>
      <c r="K187" s="52">
        <v>825.8768</v>
      </c>
      <c r="L187" s="52">
        <v>275.29230000000001</v>
      </c>
      <c r="M187" s="52">
        <v>275.29230000000001</v>
      </c>
      <c r="N187" s="5" t="s">
        <v>69</v>
      </c>
    </row>
    <row r="188" spans="1:14" x14ac:dyDescent="0.25">
      <c r="A188" s="51">
        <v>0.97699999999999998</v>
      </c>
      <c r="B188" s="52">
        <v>2755.7433000000001</v>
      </c>
      <c r="C188" s="52">
        <v>137.78720000000001</v>
      </c>
      <c r="D188" s="52">
        <v>68.893600000000006</v>
      </c>
      <c r="E188" s="52">
        <v>68.893600000000006</v>
      </c>
      <c r="F188" s="52">
        <v>275.57429999999999</v>
      </c>
      <c r="G188" s="52">
        <v>137.78720000000001</v>
      </c>
      <c r="H188" s="52">
        <v>137.78720000000001</v>
      </c>
      <c r="I188" s="52">
        <v>275.57429999999999</v>
      </c>
      <c r="J188" s="52">
        <v>275.57429999999999</v>
      </c>
      <c r="K188" s="52">
        <v>826.72299999999996</v>
      </c>
      <c r="L188" s="52">
        <v>275.57429999999999</v>
      </c>
      <c r="M188" s="52">
        <v>275.57429999999999</v>
      </c>
      <c r="N188" s="5" t="s">
        <v>69</v>
      </c>
    </row>
    <row r="189" spans="1:14" x14ac:dyDescent="0.25">
      <c r="A189" s="51">
        <v>0.97799999999999998</v>
      </c>
      <c r="B189" s="52">
        <v>2758.5639000000001</v>
      </c>
      <c r="C189" s="52">
        <v>137.9282</v>
      </c>
      <c r="D189" s="52">
        <v>68.964100000000002</v>
      </c>
      <c r="E189" s="52">
        <v>68.964100000000002</v>
      </c>
      <c r="F189" s="52">
        <v>275.85640000000001</v>
      </c>
      <c r="G189" s="52">
        <v>137.9282</v>
      </c>
      <c r="H189" s="52">
        <v>137.9282</v>
      </c>
      <c r="I189" s="52">
        <v>275.85640000000001</v>
      </c>
      <c r="J189" s="52">
        <v>275.85640000000001</v>
      </c>
      <c r="K189" s="52">
        <v>827.56920000000002</v>
      </c>
      <c r="L189" s="52">
        <v>275.85640000000001</v>
      </c>
      <c r="M189" s="52">
        <v>275.85640000000001</v>
      </c>
      <c r="N189" s="5" t="s">
        <v>69</v>
      </c>
    </row>
    <row r="190" spans="1:14" x14ac:dyDescent="0.25">
      <c r="A190" s="51">
        <v>0.97899999999999998</v>
      </c>
      <c r="B190" s="52">
        <v>2761.3845000000001</v>
      </c>
      <c r="C190" s="52">
        <v>138.0692</v>
      </c>
      <c r="D190" s="52">
        <v>69.034599999999998</v>
      </c>
      <c r="E190" s="52">
        <v>69.034599999999998</v>
      </c>
      <c r="F190" s="52">
        <v>276.13850000000002</v>
      </c>
      <c r="G190" s="52">
        <v>138.0692</v>
      </c>
      <c r="H190" s="52">
        <v>138.0692</v>
      </c>
      <c r="I190" s="52">
        <v>276.13850000000002</v>
      </c>
      <c r="J190" s="52">
        <v>276.13850000000002</v>
      </c>
      <c r="K190" s="52">
        <v>828.41539999999998</v>
      </c>
      <c r="L190" s="52">
        <v>276.13850000000002</v>
      </c>
      <c r="M190" s="52">
        <v>276.13850000000002</v>
      </c>
      <c r="N190" s="5" t="s">
        <v>69</v>
      </c>
    </row>
    <row r="191" spans="1:14" x14ac:dyDescent="0.25">
      <c r="A191" s="51">
        <v>0.98</v>
      </c>
      <c r="B191" s="52">
        <v>2764.2051000000001</v>
      </c>
      <c r="C191" s="52">
        <v>138.21029999999999</v>
      </c>
      <c r="D191" s="52">
        <v>69.105099999999993</v>
      </c>
      <c r="E191" s="52">
        <v>69.105099999999993</v>
      </c>
      <c r="F191" s="52">
        <v>276.4205</v>
      </c>
      <c r="G191" s="52">
        <v>138.21029999999999</v>
      </c>
      <c r="H191" s="52">
        <v>138.21029999999999</v>
      </c>
      <c r="I191" s="52">
        <v>276.4205</v>
      </c>
      <c r="J191" s="52">
        <v>276.4205</v>
      </c>
      <c r="K191" s="52">
        <v>829.26149999999996</v>
      </c>
      <c r="L191" s="52">
        <v>276.4205</v>
      </c>
      <c r="M191" s="52">
        <v>276.4205</v>
      </c>
      <c r="N191" s="5" t="s">
        <v>69</v>
      </c>
    </row>
    <row r="192" spans="1:14" x14ac:dyDescent="0.25">
      <c r="A192" s="51">
        <v>0.98099999999999998</v>
      </c>
      <c r="B192" s="52">
        <v>2767.0257999999999</v>
      </c>
      <c r="C192" s="52">
        <v>138.35130000000001</v>
      </c>
      <c r="D192" s="52">
        <v>69.175600000000003</v>
      </c>
      <c r="E192" s="52">
        <v>69.175600000000003</v>
      </c>
      <c r="F192" s="52">
        <v>276.70260000000002</v>
      </c>
      <c r="G192" s="52">
        <v>138.35130000000001</v>
      </c>
      <c r="H192" s="52">
        <v>138.35130000000001</v>
      </c>
      <c r="I192" s="52">
        <v>276.70260000000002</v>
      </c>
      <c r="J192" s="52">
        <v>276.70260000000002</v>
      </c>
      <c r="K192" s="52">
        <v>830.10770000000002</v>
      </c>
      <c r="L192" s="52">
        <v>276.70260000000002</v>
      </c>
      <c r="M192" s="52">
        <v>276.70260000000002</v>
      </c>
      <c r="N192" s="5" t="s">
        <v>69</v>
      </c>
    </row>
    <row r="193" spans="1:14" x14ac:dyDescent="0.25">
      <c r="A193" s="51">
        <v>0.98199999999999998</v>
      </c>
      <c r="B193" s="52">
        <v>2769.8463999999999</v>
      </c>
      <c r="C193" s="52">
        <v>138.4923</v>
      </c>
      <c r="D193" s="52">
        <v>69.246200000000002</v>
      </c>
      <c r="E193" s="52">
        <v>69.246200000000002</v>
      </c>
      <c r="F193" s="52">
        <v>276.9846</v>
      </c>
      <c r="G193" s="52">
        <v>138.4923</v>
      </c>
      <c r="H193" s="52">
        <v>138.4923</v>
      </c>
      <c r="I193" s="52">
        <v>276.9846</v>
      </c>
      <c r="J193" s="52">
        <v>276.9846</v>
      </c>
      <c r="K193" s="52">
        <v>830.95389999999998</v>
      </c>
      <c r="L193" s="52">
        <v>276.9846</v>
      </c>
      <c r="M193" s="52">
        <v>276.9846</v>
      </c>
      <c r="N193" s="5" t="s">
        <v>69</v>
      </c>
    </row>
    <row r="194" spans="1:14" x14ac:dyDescent="0.25">
      <c r="A194" s="51">
        <v>0.98299999999999998</v>
      </c>
      <c r="B194" s="52">
        <v>2772.6669999999999</v>
      </c>
      <c r="C194" s="52">
        <v>138.63329999999999</v>
      </c>
      <c r="D194" s="52">
        <v>69.316699999999997</v>
      </c>
      <c r="E194" s="52">
        <v>69.316699999999997</v>
      </c>
      <c r="F194" s="52">
        <v>277.26670000000001</v>
      </c>
      <c r="G194" s="52">
        <v>138.63329999999999</v>
      </c>
      <c r="H194" s="52">
        <v>138.63329999999999</v>
      </c>
      <c r="I194" s="52">
        <v>277.26670000000001</v>
      </c>
      <c r="J194" s="52">
        <v>277.26670000000001</v>
      </c>
      <c r="K194" s="52">
        <v>831.80010000000004</v>
      </c>
      <c r="L194" s="52">
        <v>277.26670000000001</v>
      </c>
      <c r="M194" s="52">
        <v>277.26670000000001</v>
      </c>
      <c r="N194" s="5" t="s">
        <v>69</v>
      </c>
    </row>
    <row r="195" spans="1:14" x14ac:dyDescent="0.25">
      <c r="A195" s="51">
        <v>0.98399999999999999</v>
      </c>
      <c r="B195" s="52">
        <v>2775.4875999999999</v>
      </c>
      <c r="C195" s="52">
        <v>138.77440000000001</v>
      </c>
      <c r="D195" s="52">
        <v>69.387200000000007</v>
      </c>
      <c r="E195" s="52">
        <v>69.387200000000007</v>
      </c>
      <c r="F195" s="52">
        <v>277.54880000000003</v>
      </c>
      <c r="G195" s="52">
        <v>138.77440000000001</v>
      </c>
      <c r="H195" s="52">
        <v>138.77440000000001</v>
      </c>
      <c r="I195" s="52">
        <v>277.54880000000003</v>
      </c>
      <c r="J195" s="52">
        <v>277.54880000000003</v>
      </c>
      <c r="K195" s="52">
        <v>832.6463</v>
      </c>
      <c r="L195" s="52">
        <v>277.54880000000003</v>
      </c>
      <c r="M195" s="52">
        <v>277.54880000000003</v>
      </c>
      <c r="N195" s="5" t="s">
        <v>69</v>
      </c>
    </row>
    <row r="196" spans="1:14" x14ac:dyDescent="0.25">
      <c r="A196" s="51">
        <v>0.98499999999999999</v>
      </c>
      <c r="B196" s="52">
        <v>2778.3081999999999</v>
      </c>
      <c r="C196" s="52">
        <v>138.91540000000001</v>
      </c>
      <c r="D196" s="52">
        <v>69.457700000000003</v>
      </c>
      <c r="E196" s="52">
        <v>69.457700000000003</v>
      </c>
      <c r="F196" s="52">
        <v>277.83080000000001</v>
      </c>
      <c r="G196" s="52">
        <v>138.91540000000001</v>
      </c>
      <c r="H196" s="52">
        <v>138.91540000000001</v>
      </c>
      <c r="I196" s="52">
        <v>277.83080000000001</v>
      </c>
      <c r="J196" s="52">
        <v>277.83080000000001</v>
      </c>
      <c r="K196" s="52">
        <v>833.49249999999995</v>
      </c>
      <c r="L196" s="52">
        <v>277.83080000000001</v>
      </c>
      <c r="M196" s="52">
        <v>277.83080000000001</v>
      </c>
      <c r="N196" s="5" t="s">
        <v>69</v>
      </c>
    </row>
    <row r="197" spans="1:14" x14ac:dyDescent="0.25">
      <c r="A197" s="51">
        <v>0.98599999999999999</v>
      </c>
      <c r="B197" s="52">
        <v>2781.1288</v>
      </c>
      <c r="C197" s="52">
        <v>139.0564</v>
      </c>
      <c r="D197" s="52">
        <v>69.528199999999998</v>
      </c>
      <c r="E197" s="52">
        <v>69.528199999999998</v>
      </c>
      <c r="F197" s="52">
        <v>278.11290000000002</v>
      </c>
      <c r="G197" s="52">
        <v>139.0564</v>
      </c>
      <c r="H197" s="52">
        <v>139.0564</v>
      </c>
      <c r="I197" s="52">
        <v>278.11290000000002</v>
      </c>
      <c r="J197" s="52">
        <v>278.11290000000002</v>
      </c>
      <c r="K197" s="52">
        <v>834.33870000000002</v>
      </c>
      <c r="L197" s="52">
        <v>278.11290000000002</v>
      </c>
      <c r="M197" s="52">
        <v>278.11290000000002</v>
      </c>
      <c r="N197" s="5" t="s">
        <v>69</v>
      </c>
    </row>
    <row r="198" spans="1:14" x14ac:dyDescent="0.25">
      <c r="A198" s="51">
        <v>0.98699999999999999</v>
      </c>
      <c r="B198" s="52">
        <v>2783.9495000000002</v>
      </c>
      <c r="C198" s="52">
        <v>139.19749999999999</v>
      </c>
      <c r="D198" s="52">
        <v>69.598699999999994</v>
      </c>
      <c r="E198" s="52">
        <v>69.598699999999994</v>
      </c>
      <c r="F198" s="52">
        <v>278.39490000000001</v>
      </c>
      <c r="G198" s="52">
        <v>139.19749999999999</v>
      </c>
      <c r="H198" s="52">
        <v>139.19749999999999</v>
      </c>
      <c r="I198" s="52">
        <v>278.39490000000001</v>
      </c>
      <c r="J198" s="52">
        <v>278.39490000000001</v>
      </c>
      <c r="K198" s="52">
        <v>835.1848</v>
      </c>
      <c r="L198" s="52">
        <v>278.39490000000001</v>
      </c>
      <c r="M198" s="52">
        <v>278.39490000000001</v>
      </c>
      <c r="N198" s="5" t="s">
        <v>69</v>
      </c>
    </row>
    <row r="199" spans="1:14" x14ac:dyDescent="0.25">
      <c r="A199" s="51">
        <v>0.98799999999999999</v>
      </c>
      <c r="B199" s="52">
        <v>2786.7701000000002</v>
      </c>
      <c r="C199" s="52">
        <v>139.33850000000001</v>
      </c>
      <c r="D199" s="52">
        <v>69.669300000000007</v>
      </c>
      <c r="E199" s="52">
        <v>69.669300000000007</v>
      </c>
      <c r="F199" s="52">
        <v>278.67700000000002</v>
      </c>
      <c r="G199" s="52">
        <v>139.33850000000001</v>
      </c>
      <c r="H199" s="52">
        <v>139.33850000000001</v>
      </c>
      <c r="I199" s="52">
        <v>278.67700000000002</v>
      </c>
      <c r="J199" s="52">
        <v>278.67700000000002</v>
      </c>
      <c r="K199" s="52">
        <v>836.03099999999995</v>
      </c>
      <c r="L199" s="52">
        <v>278.67700000000002</v>
      </c>
      <c r="M199" s="52">
        <v>278.67700000000002</v>
      </c>
      <c r="N199" s="5" t="s">
        <v>69</v>
      </c>
    </row>
    <row r="200" spans="1:14" x14ac:dyDescent="0.25">
      <c r="A200" s="51">
        <v>0.98899999999999999</v>
      </c>
      <c r="B200" s="52">
        <v>2789.5907000000002</v>
      </c>
      <c r="C200" s="52">
        <v>139.4795</v>
      </c>
      <c r="D200" s="52">
        <v>69.739800000000002</v>
      </c>
      <c r="E200" s="52">
        <v>69.739800000000002</v>
      </c>
      <c r="F200" s="52">
        <v>278.95909999999998</v>
      </c>
      <c r="G200" s="52">
        <v>139.4795</v>
      </c>
      <c r="H200" s="52">
        <v>139.4795</v>
      </c>
      <c r="I200" s="52">
        <v>278.95909999999998</v>
      </c>
      <c r="J200" s="52">
        <v>278.95909999999998</v>
      </c>
      <c r="K200" s="52">
        <v>836.87720000000002</v>
      </c>
      <c r="L200" s="52">
        <v>278.95909999999998</v>
      </c>
      <c r="M200" s="52">
        <v>278.95909999999998</v>
      </c>
      <c r="N200" s="5" t="s">
        <v>69</v>
      </c>
    </row>
    <row r="201" spans="1:14" x14ac:dyDescent="0.25">
      <c r="A201" s="51">
        <v>0.99</v>
      </c>
      <c r="B201" s="52">
        <v>2792.4113000000002</v>
      </c>
      <c r="C201" s="52">
        <v>139.6206</v>
      </c>
      <c r="D201" s="52">
        <v>69.810299999999998</v>
      </c>
      <c r="E201" s="52">
        <v>69.810299999999998</v>
      </c>
      <c r="F201" s="52">
        <v>279.24110000000002</v>
      </c>
      <c r="G201" s="52">
        <v>139.6206</v>
      </c>
      <c r="H201" s="52">
        <v>139.6206</v>
      </c>
      <c r="I201" s="52">
        <v>279.24110000000002</v>
      </c>
      <c r="J201" s="52">
        <v>279.24110000000002</v>
      </c>
      <c r="K201" s="52">
        <v>837.72339999999997</v>
      </c>
      <c r="L201" s="52">
        <v>279.24110000000002</v>
      </c>
      <c r="M201" s="52">
        <v>279.24110000000002</v>
      </c>
      <c r="N201" s="5" t="s">
        <v>69</v>
      </c>
    </row>
    <row r="202" spans="1:14" x14ac:dyDescent="0.25">
      <c r="A202" s="51">
        <v>0.99099999999999999</v>
      </c>
      <c r="B202" s="52">
        <v>2795.2319000000002</v>
      </c>
      <c r="C202" s="52">
        <v>139.76159999999999</v>
      </c>
      <c r="D202" s="52">
        <v>69.880799999999994</v>
      </c>
      <c r="E202" s="52">
        <v>69.880799999999994</v>
      </c>
      <c r="F202" s="52">
        <v>279.52319999999997</v>
      </c>
      <c r="G202" s="52">
        <v>139.76159999999999</v>
      </c>
      <c r="H202" s="52">
        <v>139.76159999999999</v>
      </c>
      <c r="I202" s="52">
        <v>279.52319999999997</v>
      </c>
      <c r="J202" s="52">
        <v>279.52319999999997</v>
      </c>
      <c r="K202" s="52">
        <v>838.56960000000004</v>
      </c>
      <c r="L202" s="52">
        <v>279.52319999999997</v>
      </c>
      <c r="M202" s="52">
        <v>279.52319999999997</v>
      </c>
      <c r="N202" s="5" t="s">
        <v>69</v>
      </c>
    </row>
    <row r="203" spans="1:14" x14ac:dyDescent="0.25">
      <c r="A203" s="51">
        <v>0.99199999999999999</v>
      </c>
      <c r="B203" s="52">
        <v>2798.0526</v>
      </c>
      <c r="C203" s="52">
        <v>139.90260000000001</v>
      </c>
      <c r="D203" s="52">
        <v>69.951300000000003</v>
      </c>
      <c r="E203" s="52">
        <v>69.951300000000003</v>
      </c>
      <c r="F203" s="52">
        <v>279.80529999999999</v>
      </c>
      <c r="G203" s="52">
        <v>139.90260000000001</v>
      </c>
      <c r="H203" s="52">
        <v>139.90260000000001</v>
      </c>
      <c r="I203" s="52">
        <v>279.80529999999999</v>
      </c>
      <c r="J203" s="52">
        <v>279.80529999999999</v>
      </c>
      <c r="K203" s="52">
        <v>839.41579999999999</v>
      </c>
      <c r="L203" s="52">
        <v>279.80529999999999</v>
      </c>
      <c r="M203" s="52">
        <v>279.80529999999999</v>
      </c>
      <c r="N203" s="5" t="s">
        <v>69</v>
      </c>
    </row>
    <row r="204" spans="1:14" x14ac:dyDescent="0.25">
      <c r="A204" s="51">
        <v>0.99299999999999999</v>
      </c>
      <c r="B204" s="52">
        <v>2800.8732</v>
      </c>
      <c r="C204" s="52">
        <v>140.0437</v>
      </c>
      <c r="D204" s="52">
        <v>70.021799999999999</v>
      </c>
      <c r="E204" s="52">
        <v>70.021799999999999</v>
      </c>
      <c r="F204" s="52">
        <v>280.08730000000003</v>
      </c>
      <c r="G204" s="52">
        <v>140.0437</v>
      </c>
      <c r="H204" s="52">
        <v>140.0437</v>
      </c>
      <c r="I204" s="52">
        <v>280.08730000000003</v>
      </c>
      <c r="J204" s="52">
        <v>280.08730000000003</v>
      </c>
      <c r="K204" s="52">
        <v>840.26199999999994</v>
      </c>
      <c r="L204" s="52">
        <v>280.08730000000003</v>
      </c>
      <c r="M204" s="52">
        <v>280.08730000000003</v>
      </c>
      <c r="N204" s="5" t="s">
        <v>69</v>
      </c>
    </row>
    <row r="205" spans="1:14" x14ac:dyDescent="0.25">
      <c r="A205" s="51">
        <v>0.99399999999999999</v>
      </c>
      <c r="B205" s="52">
        <v>2803.6938</v>
      </c>
      <c r="C205" s="52">
        <v>140.18469999999999</v>
      </c>
      <c r="D205" s="52">
        <v>70.092299999999994</v>
      </c>
      <c r="E205" s="52">
        <v>70.092299999999994</v>
      </c>
      <c r="F205" s="52">
        <v>280.36939999999998</v>
      </c>
      <c r="G205" s="52">
        <v>140.18469999999999</v>
      </c>
      <c r="H205" s="52">
        <v>140.18469999999999</v>
      </c>
      <c r="I205" s="52">
        <v>280.36939999999998</v>
      </c>
      <c r="J205" s="52">
        <v>280.36939999999998</v>
      </c>
      <c r="K205" s="52">
        <v>841.10810000000004</v>
      </c>
      <c r="L205" s="52">
        <v>280.36939999999998</v>
      </c>
      <c r="M205" s="52">
        <v>280.36939999999998</v>
      </c>
      <c r="N205" s="5" t="s">
        <v>69</v>
      </c>
    </row>
    <row r="206" spans="1:14" x14ac:dyDescent="0.25">
      <c r="A206" s="51">
        <v>0.995</v>
      </c>
      <c r="B206" s="52">
        <v>2806.5144</v>
      </c>
      <c r="C206" s="52">
        <v>140.32570000000001</v>
      </c>
      <c r="D206" s="52">
        <v>70.162899999999993</v>
      </c>
      <c r="E206" s="52">
        <v>70.162899999999993</v>
      </c>
      <c r="F206" s="52">
        <v>280.65140000000002</v>
      </c>
      <c r="G206" s="52">
        <v>140.32570000000001</v>
      </c>
      <c r="H206" s="52">
        <v>140.32570000000001</v>
      </c>
      <c r="I206" s="52">
        <v>280.65140000000002</v>
      </c>
      <c r="J206" s="52">
        <v>280.65140000000002</v>
      </c>
      <c r="K206" s="52">
        <v>841.95429999999999</v>
      </c>
      <c r="L206" s="52">
        <v>280.65140000000002</v>
      </c>
      <c r="M206" s="52">
        <v>280.65140000000002</v>
      </c>
      <c r="N206" s="5" t="s">
        <v>69</v>
      </c>
    </row>
    <row r="207" spans="1:14" x14ac:dyDescent="0.25">
      <c r="A207" s="51">
        <v>0.996</v>
      </c>
      <c r="B207" s="52">
        <v>2809.335</v>
      </c>
      <c r="C207" s="52">
        <v>140.46680000000001</v>
      </c>
      <c r="D207" s="52">
        <v>70.233400000000003</v>
      </c>
      <c r="E207" s="52">
        <v>70.233400000000003</v>
      </c>
      <c r="F207" s="52">
        <v>280.93349999999998</v>
      </c>
      <c r="G207" s="52">
        <v>140.46680000000001</v>
      </c>
      <c r="H207" s="52">
        <v>140.46680000000001</v>
      </c>
      <c r="I207" s="52">
        <v>280.93349999999998</v>
      </c>
      <c r="J207" s="52">
        <v>280.93349999999998</v>
      </c>
      <c r="K207" s="52">
        <v>842.80050000000006</v>
      </c>
      <c r="L207" s="52">
        <v>280.93349999999998</v>
      </c>
      <c r="M207" s="52">
        <v>280.93349999999998</v>
      </c>
      <c r="N207" s="5" t="s">
        <v>69</v>
      </c>
    </row>
    <row r="208" spans="1:14" x14ac:dyDescent="0.25">
      <c r="A208" s="51">
        <v>0.997</v>
      </c>
      <c r="B208" s="52">
        <v>2812.1556</v>
      </c>
      <c r="C208" s="52">
        <v>140.6078</v>
      </c>
      <c r="D208" s="52">
        <v>70.303899999999999</v>
      </c>
      <c r="E208" s="52">
        <v>70.303899999999999</v>
      </c>
      <c r="F208" s="52">
        <v>281.21559999999999</v>
      </c>
      <c r="G208" s="52">
        <v>140.6078</v>
      </c>
      <c r="H208" s="52">
        <v>140.6078</v>
      </c>
      <c r="I208" s="52">
        <v>281.21559999999999</v>
      </c>
      <c r="J208" s="52">
        <v>281.21559999999999</v>
      </c>
      <c r="K208" s="52">
        <v>843.64670000000001</v>
      </c>
      <c r="L208" s="52">
        <v>281.21559999999999</v>
      </c>
      <c r="M208" s="52">
        <v>281.21559999999999</v>
      </c>
      <c r="N208" s="5" t="s">
        <v>69</v>
      </c>
    </row>
    <row r="209" spans="1:14" x14ac:dyDescent="0.25">
      <c r="A209" s="51">
        <v>0.998</v>
      </c>
      <c r="B209" s="52">
        <v>2814.9762999999998</v>
      </c>
      <c r="C209" s="52">
        <v>140.74879999999999</v>
      </c>
      <c r="D209" s="52">
        <v>70.374399999999994</v>
      </c>
      <c r="E209" s="52">
        <v>70.374399999999994</v>
      </c>
      <c r="F209" s="52">
        <v>281.49759999999998</v>
      </c>
      <c r="G209" s="52">
        <v>140.74879999999999</v>
      </c>
      <c r="H209" s="52">
        <v>140.74879999999999</v>
      </c>
      <c r="I209" s="52">
        <v>281.49759999999998</v>
      </c>
      <c r="J209" s="52">
        <v>281.49759999999998</v>
      </c>
      <c r="K209" s="52">
        <v>844.49289999999996</v>
      </c>
      <c r="L209" s="52">
        <v>281.49759999999998</v>
      </c>
      <c r="M209" s="52">
        <v>281.49759999999998</v>
      </c>
      <c r="N209" s="5" t="s">
        <v>69</v>
      </c>
    </row>
    <row r="210" spans="1:14" x14ac:dyDescent="0.25">
      <c r="A210" s="51">
        <v>0.999</v>
      </c>
      <c r="B210" s="52">
        <v>2817.7968999999998</v>
      </c>
      <c r="C210" s="52">
        <v>140.88980000000001</v>
      </c>
      <c r="D210" s="52">
        <v>70.444900000000004</v>
      </c>
      <c r="E210" s="52">
        <v>70.444900000000004</v>
      </c>
      <c r="F210" s="52">
        <v>281.77969999999999</v>
      </c>
      <c r="G210" s="52">
        <v>140.88980000000001</v>
      </c>
      <c r="H210" s="52">
        <v>140.88980000000001</v>
      </c>
      <c r="I210" s="52">
        <v>281.77969999999999</v>
      </c>
      <c r="J210" s="52">
        <v>281.77969999999999</v>
      </c>
      <c r="K210" s="52">
        <v>845.33910000000003</v>
      </c>
      <c r="L210" s="52">
        <v>281.77969999999999</v>
      </c>
      <c r="M210" s="52">
        <v>281.77969999999999</v>
      </c>
      <c r="N210" s="5" t="s">
        <v>69</v>
      </c>
    </row>
    <row r="211" spans="1:14" x14ac:dyDescent="0.25">
      <c r="A211" s="51">
        <v>1</v>
      </c>
      <c r="B211" s="52">
        <v>3760.8233</v>
      </c>
      <c r="C211" s="52">
        <v>188.0412</v>
      </c>
      <c r="D211" s="52">
        <v>94.020600000000002</v>
      </c>
      <c r="E211" s="52">
        <v>94.020600000000002</v>
      </c>
      <c r="F211" s="52">
        <v>376.08229999999998</v>
      </c>
      <c r="G211" s="52">
        <v>188.0412</v>
      </c>
      <c r="H211" s="52">
        <v>188.0412</v>
      </c>
      <c r="I211" s="52">
        <v>376.08229999999998</v>
      </c>
      <c r="J211" s="52">
        <v>376.08229999999998</v>
      </c>
      <c r="K211" s="52">
        <v>1128.2470000000001</v>
      </c>
      <c r="L211" s="52">
        <v>376.08229999999998</v>
      </c>
      <c r="M211" s="52">
        <v>376.08229999999998</v>
      </c>
      <c r="N211" s="5" t="s">
        <v>69</v>
      </c>
    </row>
    <row r="212" spans="1:14" x14ac:dyDescent="0.25">
      <c r="A212" s="51">
        <v>1.0009999999999999</v>
      </c>
      <c r="B212" s="52">
        <v>3762.3262</v>
      </c>
      <c r="C212" s="52">
        <v>188.22900000000001</v>
      </c>
      <c r="D212" s="52">
        <v>94.114500000000007</v>
      </c>
      <c r="E212" s="52">
        <v>94.114500000000007</v>
      </c>
      <c r="F212" s="52">
        <v>376.45800000000003</v>
      </c>
      <c r="G212" s="52">
        <v>188.22900000000001</v>
      </c>
      <c r="H212" s="52">
        <v>188.22900000000001</v>
      </c>
      <c r="I212" s="52">
        <v>376.45800000000003</v>
      </c>
      <c r="J212" s="52">
        <v>376.08229999999998</v>
      </c>
      <c r="K212" s="52">
        <v>1128.2470000000001</v>
      </c>
      <c r="L212" s="52">
        <v>376.08229999999998</v>
      </c>
      <c r="M212" s="52">
        <v>376.08229999999998</v>
      </c>
      <c r="N212" s="5" t="s">
        <v>69</v>
      </c>
    </row>
    <row r="213" spans="1:14" x14ac:dyDescent="0.25">
      <c r="A213" s="51">
        <v>1.002</v>
      </c>
      <c r="B213" s="52">
        <v>3763.8305</v>
      </c>
      <c r="C213" s="52">
        <v>188.4171</v>
      </c>
      <c r="D213" s="52">
        <v>94.208500000000001</v>
      </c>
      <c r="E213" s="52">
        <v>94.208500000000001</v>
      </c>
      <c r="F213" s="52">
        <v>376.83409999999998</v>
      </c>
      <c r="G213" s="52">
        <v>188.4171</v>
      </c>
      <c r="H213" s="52">
        <v>188.4171</v>
      </c>
      <c r="I213" s="52">
        <v>376.83409999999998</v>
      </c>
      <c r="J213" s="52">
        <v>376.08229999999998</v>
      </c>
      <c r="K213" s="52">
        <v>1128.2470000000001</v>
      </c>
      <c r="L213" s="52">
        <v>376.08229999999998</v>
      </c>
      <c r="M213" s="52">
        <v>376.08229999999998</v>
      </c>
      <c r="N213" s="5" t="s">
        <v>69</v>
      </c>
    </row>
    <row r="214" spans="1:14" x14ac:dyDescent="0.25">
      <c r="A214" s="51">
        <v>1.0029999999999999</v>
      </c>
      <c r="B214" s="52">
        <v>3765.3348000000001</v>
      </c>
      <c r="C214" s="52">
        <v>188.60509999999999</v>
      </c>
      <c r="D214" s="52">
        <v>94.302599999999998</v>
      </c>
      <c r="E214" s="52">
        <v>94.302599999999998</v>
      </c>
      <c r="F214" s="52">
        <v>377.21019999999999</v>
      </c>
      <c r="G214" s="52">
        <v>188.60509999999999</v>
      </c>
      <c r="H214" s="52">
        <v>188.60509999999999</v>
      </c>
      <c r="I214" s="52">
        <v>377.21019999999999</v>
      </c>
      <c r="J214" s="52">
        <v>376.08229999999998</v>
      </c>
      <c r="K214" s="52">
        <v>1128.2470000000001</v>
      </c>
      <c r="L214" s="52">
        <v>376.08229999999998</v>
      </c>
      <c r="M214" s="52">
        <v>376.08229999999998</v>
      </c>
      <c r="N214" s="5" t="s">
        <v>69</v>
      </c>
    </row>
    <row r="215" spans="1:14" x14ac:dyDescent="0.25">
      <c r="A215" s="51">
        <v>1.004</v>
      </c>
      <c r="B215" s="52">
        <v>3766.8391000000001</v>
      </c>
      <c r="C215" s="52">
        <v>188.79310000000001</v>
      </c>
      <c r="D215" s="52">
        <v>94.396600000000007</v>
      </c>
      <c r="E215" s="52">
        <v>94.396600000000007</v>
      </c>
      <c r="F215" s="52">
        <v>377.58629999999999</v>
      </c>
      <c r="G215" s="52">
        <v>188.79310000000001</v>
      </c>
      <c r="H215" s="52">
        <v>188.79310000000001</v>
      </c>
      <c r="I215" s="52">
        <v>377.58629999999999</v>
      </c>
      <c r="J215" s="52">
        <v>376.08229999999998</v>
      </c>
      <c r="K215" s="52">
        <v>1128.2470000000001</v>
      </c>
      <c r="L215" s="52">
        <v>376.08229999999998</v>
      </c>
      <c r="M215" s="52">
        <v>376.08229999999998</v>
      </c>
      <c r="N215" s="5" t="s">
        <v>69</v>
      </c>
    </row>
    <row r="216" spans="1:14" x14ac:dyDescent="0.25">
      <c r="A216" s="51">
        <v>1.0049999999999999</v>
      </c>
      <c r="B216" s="52">
        <v>3768.3434999999999</v>
      </c>
      <c r="C216" s="52">
        <v>188.9812</v>
      </c>
      <c r="D216" s="52">
        <v>94.490600000000001</v>
      </c>
      <c r="E216" s="52">
        <v>94.490600000000001</v>
      </c>
      <c r="F216" s="52">
        <v>377.9624</v>
      </c>
      <c r="G216" s="52">
        <v>188.9812</v>
      </c>
      <c r="H216" s="52">
        <v>188.9812</v>
      </c>
      <c r="I216" s="52">
        <v>377.9624</v>
      </c>
      <c r="J216" s="52">
        <v>376.08229999999998</v>
      </c>
      <c r="K216" s="52">
        <v>1128.2470000000001</v>
      </c>
      <c r="L216" s="52">
        <v>376.08229999999998</v>
      </c>
      <c r="M216" s="52">
        <v>376.08229999999998</v>
      </c>
      <c r="N216" s="5" t="s">
        <v>69</v>
      </c>
    </row>
    <row r="217" spans="1:14" x14ac:dyDescent="0.25">
      <c r="A217" s="51">
        <v>1.006</v>
      </c>
      <c r="B217" s="52">
        <v>3769.8478</v>
      </c>
      <c r="C217" s="52">
        <v>189.16919999999999</v>
      </c>
      <c r="D217" s="52">
        <v>94.584599999999995</v>
      </c>
      <c r="E217" s="52">
        <v>94.584599999999995</v>
      </c>
      <c r="F217" s="52">
        <v>378.33839999999998</v>
      </c>
      <c r="G217" s="52">
        <v>189.16919999999999</v>
      </c>
      <c r="H217" s="52">
        <v>189.16919999999999</v>
      </c>
      <c r="I217" s="52">
        <v>378.33839999999998</v>
      </c>
      <c r="J217" s="52">
        <v>376.08229999999998</v>
      </c>
      <c r="K217" s="52">
        <v>1128.2470000000001</v>
      </c>
      <c r="L217" s="52">
        <v>376.08229999999998</v>
      </c>
      <c r="M217" s="52">
        <v>376.08229999999998</v>
      </c>
      <c r="N217" s="5" t="s">
        <v>69</v>
      </c>
    </row>
    <row r="218" spans="1:14" x14ac:dyDescent="0.25">
      <c r="A218" s="51">
        <v>1.0069999999999999</v>
      </c>
      <c r="B218" s="52">
        <v>3771.3521000000001</v>
      </c>
      <c r="C218" s="52">
        <v>189.35730000000001</v>
      </c>
      <c r="D218" s="52">
        <v>94.678600000000003</v>
      </c>
      <c r="E218" s="52">
        <v>94.678600000000003</v>
      </c>
      <c r="F218" s="52">
        <v>378.71449999999999</v>
      </c>
      <c r="G218" s="52">
        <v>189.35730000000001</v>
      </c>
      <c r="H218" s="52">
        <v>189.35730000000001</v>
      </c>
      <c r="I218" s="52">
        <v>378.71449999999999</v>
      </c>
      <c r="J218" s="52">
        <v>376.08229999999998</v>
      </c>
      <c r="K218" s="52">
        <v>1128.2470000000001</v>
      </c>
      <c r="L218" s="52">
        <v>376.08229999999998</v>
      </c>
      <c r="M218" s="52">
        <v>376.08229999999998</v>
      </c>
      <c r="N218" s="5" t="s">
        <v>69</v>
      </c>
    </row>
    <row r="219" spans="1:14" x14ac:dyDescent="0.25">
      <c r="A219" s="51">
        <v>1.008</v>
      </c>
      <c r="B219" s="52">
        <v>3772.8564000000001</v>
      </c>
      <c r="C219" s="52">
        <v>189.5453</v>
      </c>
      <c r="D219" s="52">
        <v>94.7727</v>
      </c>
      <c r="E219" s="52">
        <v>94.7727</v>
      </c>
      <c r="F219" s="52">
        <v>379.09059999999999</v>
      </c>
      <c r="G219" s="52">
        <v>189.5453</v>
      </c>
      <c r="H219" s="52">
        <v>189.5453</v>
      </c>
      <c r="I219" s="52">
        <v>379.09059999999999</v>
      </c>
      <c r="J219" s="52">
        <v>376.08229999999998</v>
      </c>
      <c r="K219" s="52">
        <v>1128.2470000000001</v>
      </c>
      <c r="L219" s="52">
        <v>376.08229999999998</v>
      </c>
      <c r="M219" s="52">
        <v>376.08229999999998</v>
      </c>
      <c r="N219" s="5" t="s">
        <v>69</v>
      </c>
    </row>
    <row r="220" spans="1:14" x14ac:dyDescent="0.25">
      <c r="A220" s="51">
        <v>1.0089999999999999</v>
      </c>
      <c r="B220" s="52">
        <v>3774.3607999999999</v>
      </c>
      <c r="C220" s="52">
        <v>189.73330000000001</v>
      </c>
      <c r="D220" s="52">
        <v>94.866699999999994</v>
      </c>
      <c r="E220" s="52">
        <v>94.866699999999994</v>
      </c>
      <c r="F220" s="52">
        <v>379.4667</v>
      </c>
      <c r="G220" s="52">
        <v>189.73330000000001</v>
      </c>
      <c r="H220" s="52">
        <v>189.73330000000001</v>
      </c>
      <c r="I220" s="52">
        <v>379.4667</v>
      </c>
      <c r="J220" s="52">
        <v>376.08229999999998</v>
      </c>
      <c r="K220" s="52">
        <v>1128.2470000000001</v>
      </c>
      <c r="L220" s="52">
        <v>376.08229999999998</v>
      </c>
      <c r="M220" s="52">
        <v>376.08229999999998</v>
      </c>
      <c r="N220" s="5" t="s">
        <v>69</v>
      </c>
    </row>
    <row r="221" spans="1:14" x14ac:dyDescent="0.25">
      <c r="A221" s="51">
        <v>1.01</v>
      </c>
      <c r="B221" s="52">
        <v>3775.8651</v>
      </c>
      <c r="C221" s="52">
        <v>189.92140000000001</v>
      </c>
      <c r="D221" s="52">
        <v>94.960700000000003</v>
      </c>
      <c r="E221" s="52">
        <v>94.960700000000003</v>
      </c>
      <c r="F221" s="52">
        <v>379.84280000000001</v>
      </c>
      <c r="G221" s="52">
        <v>189.92140000000001</v>
      </c>
      <c r="H221" s="52">
        <v>189.92140000000001</v>
      </c>
      <c r="I221" s="52">
        <v>379.84280000000001</v>
      </c>
      <c r="J221" s="52">
        <v>376.08229999999998</v>
      </c>
      <c r="K221" s="52">
        <v>1128.2470000000001</v>
      </c>
      <c r="L221" s="52">
        <v>376.08229999999998</v>
      </c>
      <c r="M221" s="52">
        <v>376.08229999999998</v>
      </c>
      <c r="N221" s="5" t="s">
        <v>69</v>
      </c>
    </row>
    <row r="222" spans="1:14" x14ac:dyDescent="0.25">
      <c r="A222" s="51">
        <v>1.0109999999999999</v>
      </c>
      <c r="B222" s="52">
        <v>3777.3694</v>
      </c>
      <c r="C222" s="52">
        <v>190.10939999999999</v>
      </c>
      <c r="D222" s="52">
        <v>95.054699999999997</v>
      </c>
      <c r="E222" s="52">
        <v>95.054699999999997</v>
      </c>
      <c r="F222" s="52">
        <v>380.21890000000002</v>
      </c>
      <c r="G222" s="52">
        <v>190.10939999999999</v>
      </c>
      <c r="H222" s="52">
        <v>190.10939999999999</v>
      </c>
      <c r="I222" s="52">
        <v>380.21890000000002</v>
      </c>
      <c r="J222" s="52">
        <v>376.08229999999998</v>
      </c>
      <c r="K222" s="52">
        <v>1128.2470000000001</v>
      </c>
      <c r="L222" s="52">
        <v>376.08229999999998</v>
      </c>
      <c r="M222" s="52">
        <v>376.08229999999998</v>
      </c>
      <c r="N222" s="5" t="s">
        <v>69</v>
      </c>
    </row>
    <row r="223" spans="1:14" x14ac:dyDescent="0.25">
      <c r="A223" s="51">
        <v>1.012</v>
      </c>
      <c r="B223" s="52">
        <v>3778.8737999999998</v>
      </c>
      <c r="C223" s="52">
        <v>190.29750000000001</v>
      </c>
      <c r="D223" s="52">
        <v>95.148700000000005</v>
      </c>
      <c r="E223" s="52">
        <v>95.148700000000005</v>
      </c>
      <c r="F223" s="52">
        <v>380.5949</v>
      </c>
      <c r="G223" s="52">
        <v>190.29750000000001</v>
      </c>
      <c r="H223" s="52">
        <v>190.29750000000001</v>
      </c>
      <c r="I223" s="52">
        <v>380.5949</v>
      </c>
      <c r="J223" s="52">
        <v>376.08229999999998</v>
      </c>
      <c r="K223" s="52">
        <v>1128.2470000000001</v>
      </c>
      <c r="L223" s="52">
        <v>376.08229999999998</v>
      </c>
      <c r="M223" s="52">
        <v>376.08229999999998</v>
      </c>
      <c r="N223" s="5" t="s">
        <v>69</v>
      </c>
    </row>
    <row r="224" spans="1:14" x14ac:dyDescent="0.25">
      <c r="A224" s="51">
        <v>1.0129999999999999</v>
      </c>
      <c r="B224" s="52">
        <v>3780.3780999999999</v>
      </c>
      <c r="C224" s="52">
        <v>190.4855</v>
      </c>
      <c r="D224" s="52">
        <v>95.242800000000003</v>
      </c>
      <c r="E224" s="52">
        <v>95.242800000000003</v>
      </c>
      <c r="F224" s="52">
        <v>380.971</v>
      </c>
      <c r="G224" s="52">
        <v>190.4855</v>
      </c>
      <c r="H224" s="52">
        <v>190.4855</v>
      </c>
      <c r="I224" s="52">
        <v>380.971</v>
      </c>
      <c r="J224" s="52">
        <v>376.08229999999998</v>
      </c>
      <c r="K224" s="52">
        <v>1128.2470000000001</v>
      </c>
      <c r="L224" s="52">
        <v>376.08229999999998</v>
      </c>
      <c r="M224" s="52">
        <v>376.08229999999998</v>
      </c>
      <c r="N224" s="5" t="s">
        <v>69</v>
      </c>
    </row>
    <row r="225" spans="1:14" x14ac:dyDescent="0.25">
      <c r="A225" s="51">
        <v>1.014</v>
      </c>
      <c r="B225" s="52">
        <v>3781.8824</v>
      </c>
      <c r="C225" s="52">
        <v>190.67359999999999</v>
      </c>
      <c r="D225" s="52">
        <v>95.336799999999997</v>
      </c>
      <c r="E225" s="52">
        <v>95.336799999999997</v>
      </c>
      <c r="F225" s="52">
        <v>381.34710000000001</v>
      </c>
      <c r="G225" s="52">
        <v>190.67359999999999</v>
      </c>
      <c r="H225" s="52">
        <v>190.67359999999999</v>
      </c>
      <c r="I225" s="52">
        <v>381.34710000000001</v>
      </c>
      <c r="J225" s="52">
        <v>376.08229999999998</v>
      </c>
      <c r="K225" s="52">
        <v>1128.2470000000001</v>
      </c>
      <c r="L225" s="52">
        <v>376.08229999999998</v>
      </c>
      <c r="M225" s="52">
        <v>376.08229999999998</v>
      </c>
      <c r="N225" s="5" t="s">
        <v>69</v>
      </c>
    </row>
    <row r="226" spans="1:14" x14ac:dyDescent="0.25">
      <c r="A226" s="51">
        <v>1.0149999999999999</v>
      </c>
      <c r="B226" s="52">
        <v>3783.3867</v>
      </c>
      <c r="C226" s="52">
        <v>190.86160000000001</v>
      </c>
      <c r="D226" s="52">
        <v>95.430800000000005</v>
      </c>
      <c r="E226" s="52">
        <v>95.430800000000005</v>
      </c>
      <c r="F226" s="52">
        <v>381.72320000000002</v>
      </c>
      <c r="G226" s="52">
        <v>190.86160000000001</v>
      </c>
      <c r="H226" s="52">
        <v>190.86160000000001</v>
      </c>
      <c r="I226" s="52">
        <v>381.72320000000002</v>
      </c>
      <c r="J226" s="52">
        <v>376.08229999999998</v>
      </c>
      <c r="K226" s="52">
        <v>1128.2470000000001</v>
      </c>
      <c r="L226" s="52">
        <v>376.08229999999998</v>
      </c>
      <c r="M226" s="52">
        <v>376.08229999999998</v>
      </c>
      <c r="N226" s="5" t="s">
        <v>69</v>
      </c>
    </row>
    <row r="227" spans="1:14" x14ac:dyDescent="0.25">
      <c r="A227" s="51">
        <v>1.016</v>
      </c>
      <c r="B227" s="52">
        <v>3784.8910999999998</v>
      </c>
      <c r="C227" s="52">
        <v>191.0496</v>
      </c>
      <c r="D227" s="52">
        <v>95.524799999999999</v>
      </c>
      <c r="E227" s="52">
        <v>95.524799999999999</v>
      </c>
      <c r="F227" s="52">
        <v>382.09930000000003</v>
      </c>
      <c r="G227" s="52">
        <v>191.0496</v>
      </c>
      <c r="H227" s="52">
        <v>191.0496</v>
      </c>
      <c r="I227" s="52">
        <v>382.09930000000003</v>
      </c>
      <c r="J227" s="52">
        <v>376.08229999999998</v>
      </c>
      <c r="K227" s="52">
        <v>1128.2470000000001</v>
      </c>
      <c r="L227" s="52">
        <v>376.08229999999998</v>
      </c>
      <c r="M227" s="52">
        <v>376.08229999999998</v>
      </c>
      <c r="N227" s="5" t="s">
        <v>69</v>
      </c>
    </row>
    <row r="228" spans="1:14" x14ac:dyDescent="0.25">
      <c r="A228" s="51">
        <v>1.0169999999999999</v>
      </c>
      <c r="B228" s="52">
        <v>3786.3953999999999</v>
      </c>
      <c r="C228" s="52">
        <v>191.23769999999999</v>
      </c>
      <c r="D228" s="52">
        <v>95.618799999999993</v>
      </c>
      <c r="E228" s="52">
        <v>95.618799999999993</v>
      </c>
      <c r="F228" s="52">
        <v>382.47539999999998</v>
      </c>
      <c r="G228" s="52">
        <v>191.23769999999999</v>
      </c>
      <c r="H228" s="52">
        <v>191.23769999999999</v>
      </c>
      <c r="I228" s="52">
        <v>382.47539999999998</v>
      </c>
      <c r="J228" s="52">
        <v>376.08229999999998</v>
      </c>
      <c r="K228" s="52">
        <v>1128.2470000000001</v>
      </c>
      <c r="L228" s="52">
        <v>376.08229999999998</v>
      </c>
      <c r="M228" s="52">
        <v>376.08229999999998</v>
      </c>
      <c r="N228" s="5" t="s">
        <v>69</v>
      </c>
    </row>
    <row r="229" spans="1:14" x14ac:dyDescent="0.25">
      <c r="A229" s="51">
        <v>1.018</v>
      </c>
      <c r="B229" s="52">
        <v>3787.8996999999999</v>
      </c>
      <c r="C229" s="52">
        <v>191.42570000000001</v>
      </c>
      <c r="D229" s="52">
        <v>95.712900000000005</v>
      </c>
      <c r="E229" s="52">
        <v>95.712900000000005</v>
      </c>
      <c r="F229" s="52">
        <v>382.85140000000001</v>
      </c>
      <c r="G229" s="52">
        <v>191.42570000000001</v>
      </c>
      <c r="H229" s="52">
        <v>191.42570000000001</v>
      </c>
      <c r="I229" s="52">
        <v>382.85140000000001</v>
      </c>
      <c r="J229" s="52">
        <v>376.08229999999998</v>
      </c>
      <c r="K229" s="52">
        <v>1128.2470000000001</v>
      </c>
      <c r="L229" s="52">
        <v>376.08229999999998</v>
      </c>
      <c r="M229" s="52">
        <v>376.08229999999998</v>
      </c>
      <c r="N229" s="5" t="s">
        <v>69</v>
      </c>
    </row>
    <row r="230" spans="1:14" x14ac:dyDescent="0.25">
      <c r="A230" s="51">
        <v>1.0189999999999999</v>
      </c>
      <c r="B230" s="52">
        <v>3789.4041000000002</v>
      </c>
      <c r="C230" s="52">
        <v>191.6138</v>
      </c>
      <c r="D230" s="52">
        <v>95.806899999999999</v>
      </c>
      <c r="E230" s="52">
        <v>95.806899999999999</v>
      </c>
      <c r="F230" s="52">
        <v>383.22750000000002</v>
      </c>
      <c r="G230" s="52">
        <v>191.6138</v>
      </c>
      <c r="H230" s="52">
        <v>191.6138</v>
      </c>
      <c r="I230" s="52">
        <v>383.22750000000002</v>
      </c>
      <c r="J230" s="52">
        <v>376.08229999999998</v>
      </c>
      <c r="K230" s="52">
        <v>1128.2470000000001</v>
      </c>
      <c r="L230" s="52">
        <v>376.08229999999998</v>
      </c>
      <c r="M230" s="52">
        <v>376.08229999999998</v>
      </c>
      <c r="N230" s="5" t="s">
        <v>69</v>
      </c>
    </row>
    <row r="231" spans="1:14" x14ac:dyDescent="0.25">
      <c r="A231" s="51">
        <v>1.02</v>
      </c>
      <c r="B231" s="52">
        <v>3790.9083999999998</v>
      </c>
      <c r="C231" s="52">
        <v>191.80179999999999</v>
      </c>
      <c r="D231" s="52">
        <v>95.900899999999993</v>
      </c>
      <c r="E231" s="52">
        <v>95.900899999999993</v>
      </c>
      <c r="F231" s="52">
        <v>383.60359999999997</v>
      </c>
      <c r="G231" s="52">
        <v>191.80179999999999</v>
      </c>
      <c r="H231" s="52">
        <v>191.80179999999999</v>
      </c>
      <c r="I231" s="52">
        <v>383.60359999999997</v>
      </c>
      <c r="J231" s="52">
        <v>376.08229999999998</v>
      </c>
      <c r="K231" s="52">
        <v>1128.2470000000001</v>
      </c>
      <c r="L231" s="52">
        <v>376.08229999999998</v>
      </c>
      <c r="M231" s="52">
        <v>376.08229999999998</v>
      </c>
      <c r="N231" s="5" t="s">
        <v>69</v>
      </c>
    </row>
    <row r="232" spans="1:14" x14ac:dyDescent="0.25">
      <c r="A232" s="51">
        <v>1.0209999999999999</v>
      </c>
      <c r="B232" s="52">
        <v>3792.4126999999999</v>
      </c>
      <c r="C232" s="52">
        <v>191.9898</v>
      </c>
      <c r="D232" s="52">
        <v>95.994900000000001</v>
      </c>
      <c r="E232" s="52">
        <v>95.994900000000001</v>
      </c>
      <c r="F232" s="52">
        <v>383.97969999999998</v>
      </c>
      <c r="G232" s="52">
        <v>191.9898</v>
      </c>
      <c r="H232" s="52">
        <v>191.9898</v>
      </c>
      <c r="I232" s="52">
        <v>383.97969999999998</v>
      </c>
      <c r="J232" s="52">
        <v>376.08229999999998</v>
      </c>
      <c r="K232" s="52">
        <v>1128.2470000000001</v>
      </c>
      <c r="L232" s="52">
        <v>376.08229999999998</v>
      </c>
      <c r="M232" s="52">
        <v>376.08229999999998</v>
      </c>
      <c r="N232" s="5" t="s">
        <v>69</v>
      </c>
    </row>
    <row r="233" spans="1:14" x14ac:dyDescent="0.25">
      <c r="A233" s="51">
        <v>1.022</v>
      </c>
      <c r="B233" s="52">
        <v>3793.9169999999999</v>
      </c>
      <c r="C233" s="52">
        <v>192.17789999999999</v>
      </c>
      <c r="D233" s="52">
        <v>96.088899999999995</v>
      </c>
      <c r="E233" s="52">
        <v>96.088899999999995</v>
      </c>
      <c r="F233" s="52">
        <v>384.35579999999999</v>
      </c>
      <c r="G233" s="52">
        <v>192.17789999999999</v>
      </c>
      <c r="H233" s="52">
        <v>192.17789999999999</v>
      </c>
      <c r="I233" s="52">
        <v>384.35579999999999</v>
      </c>
      <c r="J233" s="52">
        <v>376.08229999999998</v>
      </c>
      <c r="K233" s="52">
        <v>1128.2470000000001</v>
      </c>
      <c r="L233" s="52">
        <v>376.08229999999998</v>
      </c>
      <c r="M233" s="52">
        <v>376.08229999999998</v>
      </c>
      <c r="N233" s="5" t="s">
        <v>69</v>
      </c>
    </row>
    <row r="234" spans="1:14" x14ac:dyDescent="0.25">
      <c r="A234" s="51">
        <v>1.0229999999999999</v>
      </c>
      <c r="B234" s="52">
        <v>3795.4214000000002</v>
      </c>
      <c r="C234" s="52">
        <v>192.36590000000001</v>
      </c>
      <c r="D234" s="52">
        <v>96.183000000000007</v>
      </c>
      <c r="E234" s="52">
        <v>96.183000000000007</v>
      </c>
      <c r="F234" s="52">
        <v>384.73180000000002</v>
      </c>
      <c r="G234" s="52">
        <v>192.36590000000001</v>
      </c>
      <c r="H234" s="52">
        <v>192.36590000000001</v>
      </c>
      <c r="I234" s="52">
        <v>384.73180000000002</v>
      </c>
      <c r="J234" s="52">
        <v>376.08229999999998</v>
      </c>
      <c r="K234" s="52">
        <v>1128.2470000000001</v>
      </c>
      <c r="L234" s="52">
        <v>376.08229999999998</v>
      </c>
      <c r="M234" s="52">
        <v>376.08229999999998</v>
      </c>
      <c r="N234" s="5" t="s">
        <v>69</v>
      </c>
    </row>
    <row r="235" spans="1:14" x14ac:dyDescent="0.25">
      <c r="A235" s="51">
        <v>1.024</v>
      </c>
      <c r="B235" s="52">
        <v>3796.9256999999998</v>
      </c>
      <c r="C235" s="52">
        <v>192.554</v>
      </c>
      <c r="D235" s="52">
        <v>96.277000000000001</v>
      </c>
      <c r="E235" s="52">
        <v>96.277000000000001</v>
      </c>
      <c r="F235" s="52">
        <v>385.10789999999997</v>
      </c>
      <c r="G235" s="52">
        <v>192.554</v>
      </c>
      <c r="H235" s="52">
        <v>192.554</v>
      </c>
      <c r="I235" s="52">
        <v>385.10789999999997</v>
      </c>
      <c r="J235" s="52">
        <v>376.08229999999998</v>
      </c>
      <c r="K235" s="52">
        <v>1128.2470000000001</v>
      </c>
      <c r="L235" s="52">
        <v>376.08229999999998</v>
      </c>
      <c r="M235" s="52">
        <v>376.08229999999998</v>
      </c>
      <c r="N235" s="5" t="s">
        <v>69</v>
      </c>
    </row>
    <row r="236" spans="1:14" x14ac:dyDescent="0.25">
      <c r="A236" s="51">
        <v>1.0249999999999999</v>
      </c>
      <c r="B236" s="52">
        <v>3798.43</v>
      </c>
      <c r="C236" s="52">
        <v>192.74199999999999</v>
      </c>
      <c r="D236" s="52">
        <v>96.370999999999995</v>
      </c>
      <c r="E236" s="52">
        <v>96.370999999999995</v>
      </c>
      <c r="F236" s="52">
        <v>385.48399999999998</v>
      </c>
      <c r="G236" s="52">
        <v>192.74199999999999</v>
      </c>
      <c r="H236" s="52">
        <v>192.74199999999999</v>
      </c>
      <c r="I236" s="52">
        <v>385.48399999999998</v>
      </c>
      <c r="J236" s="52">
        <v>376.08229999999998</v>
      </c>
      <c r="K236" s="52">
        <v>1128.2470000000001</v>
      </c>
      <c r="L236" s="52">
        <v>376.08229999999998</v>
      </c>
      <c r="M236" s="52">
        <v>376.08229999999998</v>
      </c>
      <c r="N236" s="5" t="s">
        <v>69</v>
      </c>
    </row>
    <row r="237" spans="1:14" x14ac:dyDescent="0.25">
      <c r="A237" s="51">
        <v>1.026</v>
      </c>
      <c r="B237" s="52">
        <v>3799.9342999999999</v>
      </c>
      <c r="C237" s="52">
        <v>192.93</v>
      </c>
      <c r="D237" s="52">
        <v>96.465000000000003</v>
      </c>
      <c r="E237" s="52">
        <v>96.465000000000003</v>
      </c>
      <c r="F237" s="52">
        <v>385.86009999999999</v>
      </c>
      <c r="G237" s="52">
        <v>192.93</v>
      </c>
      <c r="H237" s="52">
        <v>192.93</v>
      </c>
      <c r="I237" s="52">
        <v>385.86009999999999</v>
      </c>
      <c r="J237" s="52">
        <v>376.08229999999998</v>
      </c>
      <c r="K237" s="52">
        <v>1128.2470000000001</v>
      </c>
      <c r="L237" s="52">
        <v>376.08229999999998</v>
      </c>
      <c r="M237" s="52">
        <v>376.08229999999998</v>
      </c>
      <c r="N237" s="5" t="s">
        <v>69</v>
      </c>
    </row>
    <row r="238" spans="1:14" x14ac:dyDescent="0.25">
      <c r="A238" s="51">
        <v>1.0269999999999999</v>
      </c>
      <c r="B238" s="52">
        <v>3801.4387000000002</v>
      </c>
      <c r="C238" s="52">
        <v>193.1181</v>
      </c>
      <c r="D238" s="52">
        <v>96.558999999999997</v>
      </c>
      <c r="E238" s="52">
        <v>96.558999999999997</v>
      </c>
      <c r="F238" s="52">
        <v>386.2362</v>
      </c>
      <c r="G238" s="52">
        <v>193.1181</v>
      </c>
      <c r="H238" s="52">
        <v>193.1181</v>
      </c>
      <c r="I238" s="52">
        <v>386.2362</v>
      </c>
      <c r="J238" s="52">
        <v>376.08229999999998</v>
      </c>
      <c r="K238" s="52">
        <v>1128.2470000000001</v>
      </c>
      <c r="L238" s="52">
        <v>376.08229999999998</v>
      </c>
      <c r="M238" s="52">
        <v>376.08229999999998</v>
      </c>
      <c r="N238" s="5" t="s">
        <v>69</v>
      </c>
    </row>
    <row r="239" spans="1:14" x14ac:dyDescent="0.25">
      <c r="A239" s="51">
        <v>1.028</v>
      </c>
      <c r="B239" s="52">
        <v>3802.9430000000002</v>
      </c>
      <c r="C239" s="52">
        <v>193.30609999999999</v>
      </c>
      <c r="D239" s="52">
        <v>96.653099999999995</v>
      </c>
      <c r="E239" s="52">
        <v>96.653099999999995</v>
      </c>
      <c r="F239" s="52">
        <v>386.6123</v>
      </c>
      <c r="G239" s="52">
        <v>193.30609999999999</v>
      </c>
      <c r="H239" s="52">
        <v>193.30609999999999</v>
      </c>
      <c r="I239" s="52">
        <v>386.6123</v>
      </c>
      <c r="J239" s="52">
        <v>376.08229999999998</v>
      </c>
      <c r="K239" s="52">
        <v>1128.2470000000001</v>
      </c>
      <c r="L239" s="52">
        <v>376.08229999999998</v>
      </c>
      <c r="M239" s="52">
        <v>376.08229999999998</v>
      </c>
      <c r="N239" s="5" t="s">
        <v>69</v>
      </c>
    </row>
    <row r="240" spans="1:14" x14ac:dyDescent="0.25">
      <c r="A240" s="51">
        <v>1.0289999999999999</v>
      </c>
      <c r="B240" s="52">
        <v>3804.4472999999998</v>
      </c>
      <c r="C240" s="52">
        <v>193.49420000000001</v>
      </c>
      <c r="D240" s="52">
        <v>96.747100000000003</v>
      </c>
      <c r="E240" s="52">
        <v>96.747100000000003</v>
      </c>
      <c r="F240" s="52">
        <v>386.98829999999998</v>
      </c>
      <c r="G240" s="52">
        <v>193.49420000000001</v>
      </c>
      <c r="H240" s="52">
        <v>193.49420000000001</v>
      </c>
      <c r="I240" s="52">
        <v>386.98829999999998</v>
      </c>
      <c r="J240" s="52">
        <v>376.08229999999998</v>
      </c>
      <c r="K240" s="52">
        <v>1128.2470000000001</v>
      </c>
      <c r="L240" s="52">
        <v>376.08229999999998</v>
      </c>
      <c r="M240" s="52">
        <v>376.08229999999998</v>
      </c>
      <c r="N240" s="5" t="s">
        <v>69</v>
      </c>
    </row>
    <row r="241" spans="1:14" x14ac:dyDescent="0.25">
      <c r="A241" s="51">
        <v>1.03</v>
      </c>
      <c r="B241" s="52">
        <v>3805.9517000000001</v>
      </c>
      <c r="C241" s="52">
        <v>193.68219999999999</v>
      </c>
      <c r="D241" s="52">
        <v>96.841099999999997</v>
      </c>
      <c r="E241" s="52">
        <v>96.841099999999997</v>
      </c>
      <c r="F241" s="52">
        <v>387.36439999999999</v>
      </c>
      <c r="G241" s="52">
        <v>193.68219999999999</v>
      </c>
      <c r="H241" s="52">
        <v>193.68219999999999</v>
      </c>
      <c r="I241" s="52">
        <v>387.36439999999999</v>
      </c>
      <c r="J241" s="52">
        <v>376.08229999999998</v>
      </c>
      <c r="K241" s="52">
        <v>1128.2470000000001</v>
      </c>
      <c r="L241" s="52">
        <v>376.08229999999998</v>
      </c>
      <c r="M241" s="52">
        <v>376.08229999999998</v>
      </c>
      <c r="N241" s="5" t="s">
        <v>69</v>
      </c>
    </row>
    <row r="242" spans="1:14" x14ac:dyDescent="0.25">
      <c r="A242" s="51">
        <v>1.0309999999999999</v>
      </c>
      <c r="B242" s="52">
        <v>3807.4560000000001</v>
      </c>
      <c r="C242" s="52">
        <v>193.87020000000001</v>
      </c>
      <c r="D242" s="52">
        <v>96.935100000000006</v>
      </c>
      <c r="E242" s="52">
        <v>96.935100000000006</v>
      </c>
      <c r="F242" s="52">
        <v>387.7405</v>
      </c>
      <c r="G242" s="52">
        <v>193.87020000000001</v>
      </c>
      <c r="H242" s="52">
        <v>193.87020000000001</v>
      </c>
      <c r="I242" s="52">
        <v>387.7405</v>
      </c>
      <c r="J242" s="52">
        <v>376.08229999999998</v>
      </c>
      <c r="K242" s="52">
        <v>1128.2470000000001</v>
      </c>
      <c r="L242" s="52">
        <v>376.08229999999998</v>
      </c>
      <c r="M242" s="52">
        <v>376.08229999999998</v>
      </c>
      <c r="N242" s="5" t="s">
        <v>69</v>
      </c>
    </row>
    <row r="243" spans="1:14" x14ac:dyDescent="0.25">
      <c r="A243" s="51">
        <v>1.032</v>
      </c>
      <c r="B243" s="52">
        <v>3808.9603000000002</v>
      </c>
      <c r="C243" s="52">
        <v>194.0583</v>
      </c>
      <c r="D243" s="52">
        <v>97.0291</v>
      </c>
      <c r="E243" s="52">
        <v>97.0291</v>
      </c>
      <c r="F243" s="52">
        <v>388.11660000000001</v>
      </c>
      <c r="G243" s="52">
        <v>194.0583</v>
      </c>
      <c r="H243" s="52">
        <v>194.0583</v>
      </c>
      <c r="I243" s="52">
        <v>388.11660000000001</v>
      </c>
      <c r="J243" s="52">
        <v>376.08229999999998</v>
      </c>
      <c r="K243" s="52">
        <v>1128.2470000000001</v>
      </c>
      <c r="L243" s="52">
        <v>376.08229999999998</v>
      </c>
      <c r="M243" s="52">
        <v>376.08229999999998</v>
      </c>
      <c r="N243" s="5" t="s">
        <v>69</v>
      </c>
    </row>
    <row r="244" spans="1:14" x14ac:dyDescent="0.25">
      <c r="A244" s="51">
        <v>1.0329999999999999</v>
      </c>
      <c r="B244" s="52">
        <v>3810.4645999999998</v>
      </c>
      <c r="C244" s="52">
        <v>194.24629999999999</v>
      </c>
      <c r="D244" s="52">
        <v>97.123199999999997</v>
      </c>
      <c r="E244" s="52">
        <v>97.123199999999997</v>
      </c>
      <c r="F244" s="52">
        <v>388.49270000000001</v>
      </c>
      <c r="G244" s="52">
        <v>194.24629999999999</v>
      </c>
      <c r="H244" s="52">
        <v>194.24629999999999</v>
      </c>
      <c r="I244" s="52">
        <v>388.49270000000001</v>
      </c>
      <c r="J244" s="52">
        <v>376.08229999999998</v>
      </c>
      <c r="K244" s="52">
        <v>1128.2470000000001</v>
      </c>
      <c r="L244" s="52">
        <v>376.08229999999998</v>
      </c>
      <c r="M244" s="52">
        <v>376.08229999999998</v>
      </c>
      <c r="N244" s="5" t="s">
        <v>69</v>
      </c>
    </row>
    <row r="245" spans="1:14" x14ac:dyDescent="0.25">
      <c r="A245" s="51">
        <v>1.034</v>
      </c>
      <c r="B245" s="52">
        <v>3811.9690000000001</v>
      </c>
      <c r="C245" s="52">
        <v>194.43440000000001</v>
      </c>
      <c r="D245" s="52">
        <v>97.217200000000005</v>
      </c>
      <c r="E245" s="52">
        <v>97.217200000000005</v>
      </c>
      <c r="F245" s="52">
        <v>388.86869999999999</v>
      </c>
      <c r="G245" s="52">
        <v>194.43440000000001</v>
      </c>
      <c r="H245" s="52">
        <v>194.43440000000001</v>
      </c>
      <c r="I245" s="52">
        <v>388.86869999999999</v>
      </c>
      <c r="J245" s="52">
        <v>376.08229999999998</v>
      </c>
      <c r="K245" s="52">
        <v>1128.2470000000001</v>
      </c>
      <c r="L245" s="52">
        <v>376.08229999999998</v>
      </c>
      <c r="M245" s="52">
        <v>376.08229999999998</v>
      </c>
      <c r="N245" s="5" t="s">
        <v>69</v>
      </c>
    </row>
    <row r="246" spans="1:14" x14ac:dyDescent="0.25">
      <c r="A246" s="51">
        <v>1.0349999999999999</v>
      </c>
      <c r="B246" s="52">
        <v>3813.4733000000001</v>
      </c>
      <c r="C246" s="52">
        <v>194.6224</v>
      </c>
      <c r="D246" s="52">
        <v>97.311199999999999</v>
      </c>
      <c r="E246" s="52">
        <v>97.311199999999999</v>
      </c>
      <c r="F246" s="52">
        <v>389.2448</v>
      </c>
      <c r="G246" s="52">
        <v>194.6224</v>
      </c>
      <c r="H246" s="52">
        <v>194.6224</v>
      </c>
      <c r="I246" s="52">
        <v>389.2448</v>
      </c>
      <c r="J246" s="52">
        <v>376.08229999999998</v>
      </c>
      <c r="K246" s="52">
        <v>1128.2470000000001</v>
      </c>
      <c r="L246" s="52">
        <v>376.08229999999998</v>
      </c>
      <c r="M246" s="52">
        <v>376.08229999999998</v>
      </c>
      <c r="N246" s="5" t="s">
        <v>69</v>
      </c>
    </row>
    <row r="247" spans="1:14" x14ac:dyDescent="0.25">
      <c r="A247" s="51">
        <v>1.036</v>
      </c>
      <c r="B247" s="52">
        <v>3814.9776000000002</v>
      </c>
      <c r="C247" s="52">
        <v>194.81049999999999</v>
      </c>
      <c r="D247" s="52">
        <v>97.405199999999994</v>
      </c>
      <c r="E247" s="52">
        <v>97.405199999999994</v>
      </c>
      <c r="F247" s="52">
        <v>389.62090000000001</v>
      </c>
      <c r="G247" s="52">
        <v>194.81049999999999</v>
      </c>
      <c r="H247" s="52">
        <v>194.81049999999999</v>
      </c>
      <c r="I247" s="52">
        <v>389.62090000000001</v>
      </c>
      <c r="J247" s="52">
        <v>376.08229999999998</v>
      </c>
      <c r="K247" s="52">
        <v>1128.2470000000001</v>
      </c>
      <c r="L247" s="52">
        <v>376.08229999999998</v>
      </c>
      <c r="M247" s="52">
        <v>376.08229999999998</v>
      </c>
      <c r="N247" s="5" t="s">
        <v>69</v>
      </c>
    </row>
    <row r="248" spans="1:14" x14ac:dyDescent="0.25">
      <c r="A248" s="51">
        <v>1.0369999999999999</v>
      </c>
      <c r="B248" s="52">
        <v>3816.482</v>
      </c>
      <c r="C248" s="52">
        <v>194.99850000000001</v>
      </c>
      <c r="D248" s="52">
        <v>97.499200000000002</v>
      </c>
      <c r="E248" s="52">
        <v>97.499200000000002</v>
      </c>
      <c r="F248" s="52">
        <v>389.99700000000001</v>
      </c>
      <c r="G248" s="52">
        <v>194.99850000000001</v>
      </c>
      <c r="H248" s="52">
        <v>194.99850000000001</v>
      </c>
      <c r="I248" s="52">
        <v>389.99700000000001</v>
      </c>
      <c r="J248" s="52">
        <v>376.08229999999998</v>
      </c>
      <c r="K248" s="52">
        <v>1128.2470000000001</v>
      </c>
      <c r="L248" s="52">
        <v>376.08229999999998</v>
      </c>
      <c r="M248" s="52">
        <v>376.08229999999998</v>
      </c>
      <c r="N248" s="5" t="s">
        <v>69</v>
      </c>
    </row>
    <row r="249" spans="1:14" x14ac:dyDescent="0.25">
      <c r="A249" s="51">
        <v>1.038</v>
      </c>
      <c r="B249" s="52">
        <v>3817.9863</v>
      </c>
      <c r="C249" s="52">
        <v>195.1865</v>
      </c>
      <c r="D249" s="52">
        <v>97.593299999999999</v>
      </c>
      <c r="E249" s="52">
        <v>97.593299999999999</v>
      </c>
      <c r="F249" s="52">
        <v>390.37310000000002</v>
      </c>
      <c r="G249" s="52">
        <v>195.1865</v>
      </c>
      <c r="H249" s="52">
        <v>195.1865</v>
      </c>
      <c r="I249" s="52">
        <v>390.37310000000002</v>
      </c>
      <c r="J249" s="52">
        <v>376.08229999999998</v>
      </c>
      <c r="K249" s="52">
        <v>1128.2470000000001</v>
      </c>
      <c r="L249" s="52">
        <v>376.08229999999998</v>
      </c>
      <c r="M249" s="52">
        <v>376.08229999999998</v>
      </c>
      <c r="N249" s="5" t="s">
        <v>69</v>
      </c>
    </row>
    <row r="250" spans="1:14" x14ac:dyDescent="0.25">
      <c r="A250" s="51">
        <v>1.0389999999999999</v>
      </c>
      <c r="B250" s="52">
        <v>3819.4906000000001</v>
      </c>
      <c r="C250" s="52">
        <v>195.37459999999999</v>
      </c>
      <c r="D250" s="52">
        <v>97.687299999999993</v>
      </c>
      <c r="E250" s="52">
        <v>97.687299999999993</v>
      </c>
      <c r="F250" s="52">
        <v>390.74919999999997</v>
      </c>
      <c r="G250" s="52">
        <v>195.37459999999999</v>
      </c>
      <c r="H250" s="52">
        <v>195.37459999999999</v>
      </c>
      <c r="I250" s="52">
        <v>390.74919999999997</v>
      </c>
      <c r="J250" s="52">
        <v>376.08229999999998</v>
      </c>
      <c r="K250" s="52">
        <v>1128.2470000000001</v>
      </c>
      <c r="L250" s="52">
        <v>376.08229999999998</v>
      </c>
      <c r="M250" s="52">
        <v>376.08229999999998</v>
      </c>
      <c r="N250" s="5" t="s">
        <v>69</v>
      </c>
    </row>
    <row r="251" spans="1:14" x14ac:dyDescent="0.25">
      <c r="A251" s="51">
        <v>1.04</v>
      </c>
      <c r="B251" s="52">
        <v>3820.9949000000001</v>
      </c>
      <c r="C251" s="52">
        <v>195.5626</v>
      </c>
      <c r="D251" s="52">
        <v>97.781300000000002</v>
      </c>
      <c r="E251" s="52">
        <v>97.781300000000002</v>
      </c>
      <c r="F251" s="52">
        <v>391.12520000000001</v>
      </c>
      <c r="G251" s="52">
        <v>195.5626</v>
      </c>
      <c r="H251" s="52">
        <v>195.5626</v>
      </c>
      <c r="I251" s="52">
        <v>391.12520000000001</v>
      </c>
      <c r="J251" s="52">
        <v>376.08229999999998</v>
      </c>
      <c r="K251" s="52">
        <v>1128.2470000000001</v>
      </c>
      <c r="L251" s="52">
        <v>376.08229999999998</v>
      </c>
      <c r="M251" s="52">
        <v>376.08229999999998</v>
      </c>
      <c r="N251" s="5" t="s">
        <v>69</v>
      </c>
    </row>
    <row r="252" spans="1:14" x14ac:dyDescent="0.25">
      <c r="A252" s="51">
        <v>1.0409999999999999</v>
      </c>
      <c r="B252" s="52">
        <v>3822.4992999999999</v>
      </c>
      <c r="C252" s="52">
        <v>195.75069999999999</v>
      </c>
      <c r="D252" s="52">
        <v>97.875299999999996</v>
      </c>
      <c r="E252" s="52">
        <v>97.875299999999996</v>
      </c>
      <c r="F252" s="52">
        <v>391.50130000000001</v>
      </c>
      <c r="G252" s="52">
        <v>195.75069999999999</v>
      </c>
      <c r="H252" s="52">
        <v>195.75069999999999</v>
      </c>
      <c r="I252" s="52">
        <v>391.50130000000001</v>
      </c>
      <c r="J252" s="52">
        <v>376.08229999999998</v>
      </c>
      <c r="K252" s="52">
        <v>1128.2470000000001</v>
      </c>
      <c r="L252" s="52">
        <v>376.08229999999998</v>
      </c>
      <c r="M252" s="52">
        <v>376.08229999999998</v>
      </c>
      <c r="N252" s="5" t="s">
        <v>69</v>
      </c>
    </row>
    <row r="253" spans="1:14" x14ac:dyDescent="0.25">
      <c r="A253" s="51">
        <v>1.042</v>
      </c>
      <c r="B253" s="52">
        <v>3824.0036</v>
      </c>
      <c r="C253" s="52">
        <v>195.93870000000001</v>
      </c>
      <c r="D253" s="52">
        <v>97.969300000000004</v>
      </c>
      <c r="E253" s="52">
        <v>97.969300000000004</v>
      </c>
      <c r="F253" s="52">
        <v>391.87740000000002</v>
      </c>
      <c r="G253" s="52">
        <v>195.93870000000001</v>
      </c>
      <c r="H253" s="52">
        <v>195.93870000000001</v>
      </c>
      <c r="I253" s="52">
        <v>391.87740000000002</v>
      </c>
      <c r="J253" s="52">
        <v>376.08229999999998</v>
      </c>
      <c r="K253" s="52">
        <v>1128.2470000000001</v>
      </c>
      <c r="L253" s="52">
        <v>376.08229999999998</v>
      </c>
      <c r="M253" s="52">
        <v>376.08229999999998</v>
      </c>
      <c r="N253" s="5" t="s">
        <v>69</v>
      </c>
    </row>
    <row r="254" spans="1:14" x14ac:dyDescent="0.25">
      <c r="A254" s="51">
        <v>1.0429999999999999</v>
      </c>
      <c r="B254" s="52">
        <v>3825.5079000000001</v>
      </c>
      <c r="C254" s="52">
        <v>196.1267</v>
      </c>
      <c r="D254" s="52">
        <v>98.063400000000001</v>
      </c>
      <c r="E254" s="52">
        <v>98.063400000000001</v>
      </c>
      <c r="F254" s="52">
        <v>392.25349999999997</v>
      </c>
      <c r="G254" s="52">
        <v>196.1267</v>
      </c>
      <c r="H254" s="52">
        <v>196.1267</v>
      </c>
      <c r="I254" s="52">
        <v>392.25349999999997</v>
      </c>
      <c r="J254" s="52">
        <v>376.08229999999998</v>
      </c>
      <c r="K254" s="52">
        <v>1128.2470000000001</v>
      </c>
      <c r="L254" s="52">
        <v>376.08229999999998</v>
      </c>
      <c r="M254" s="52">
        <v>376.08229999999998</v>
      </c>
      <c r="N254" s="5" t="s">
        <v>69</v>
      </c>
    </row>
    <row r="255" spans="1:14" x14ac:dyDescent="0.25">
      <c r="A255" s="51">
        <v>1.044</v>
      </c>
      <c r="B255" s="52">
        <v>3827.0122000000001</v>
      </c>
      <c r="C255" s="52">
        <v>196.31479999999999</v>
      </c>
      <c r="D255" s="52">
        <v>98.157399999999996</v>
      </c>
      <c r="E255" s="52">
        <v>98.157399999999996</v>
      </c>
      <c r="F255" s="52">
        <v>392.62959999999998</v>
      </c>
      <c r="G255" s="52">
        <v>196.31479999999999</v>
      </c>
      <c r="H255" s="52">
        <v>196.31479999999999</v>
      </c>
      <c r="I255" s="52">
        <v>392.62959999999998</v>
      </c>
      <c r="J255" s="52">
        <v>376.08229999999998</v>
      </c>
      <c r="K255" s="52">
        <v>1128.2470000000001</v>
      </c>
      <c r="L255" s="52">
        <v>376.08229999999998</v>
      </c>
      <c r="M255" s="52">
        <v>376.08229999999998</v>
      </c>
      <c r="N255" s="5" t="s">
        <v>69</v>
      </c>
    </row>
    <row r="256" spans="1:14" x14ac:dyDescent="0.25">
      <c r="A256" s="51">
        <v>1.0449999999999999</v>
      </c>
      <c r="B256" s="52">
        <v>3828.5165999999999</v>
      </c>
      <c r="C256" s="52">
        <v>196.50280000000001</v>
      </c>
      <c r="D256" s="52">
        <v>98.251400000000004</v>
      </c>
      <c r="E256" s="52">
        <v>98.251400000000004</v>
      </c>
      <c r="F256" s="52">
        <v>393.00560000000002</v>
      </c>
      <c r="G256" s="52">
        <v>196.50280000000001</v>
      </c>
      <c r="H256" s="52">
        <v>196.50280000000001</v>
      </c>
      <c r="I256" s="52">
        <v>393.00560000000002</v>
      </c>
      <c r="J256" s="52">
        <v>376.08229999999998</v>
      </c>
      <c r="K256" s="52">
        <v>1128.2470000000001</v>
      </c>
      <c r="L256" s="52">
        <v>376.08229999999998</v>
      </c>
      <c r="M256" s="52">
        <v>376.08229999999998</v>
      </c>
      <c r="N256" s="5" t="s">
        <v>69</v>
      </c>
    </row>
    <row r="257" spans="1:14" x14ac:dyDescent="0.25">
      <c r="A257" s="51">
        <v>1.046</v>
      </c>
      <c r="B257" s="52">
        <v>3830.0209</v>
      </c>
      <c r="C257" s="52">
        <v>196.6909</v>
      </c>
      <c r="D257" s="52">
        <v>98.345399999999998</v>
      </c>
      <c r="E257" s="52">
        <v>98.345399999999998</v>
      </c>
      <c r="F257" s="52">
        <v>393.38170000000002</v>
      </c>
      <c r="G257" s="52">
        <v>196.6909</v>
      </c>
      <c r="H257" s="52">
        <v>196.6909</v>
      </c>
      <c r="I257" s="52">
        <v>393.38170000000002</v>
      </c>
      <c r="J257" s="52">
        <v>376.08229999999998</v>
      </c>
      <c r="K257" s="52">
        <v>1128.2470000000001</v>
      </c>
      <c r="L257" s="52">
        <v>376.08229999999998</v>
      </c>
      <c r="M257" s="52">
        <v>376.08229999999998</v>
      </c>
      <c r="N257" s="5" t="s">
        <v>69</v>
      </c>
    </row>
    <row r="258" spans="1:14" x14ac:dyDescent="0.25">
      <c r="A258" s="51">
        <v>1.0469999999999999</v>
      </c>
      <c r="B258" s="52">
        <v>3831.5252</v>
      </c>
      <c r="C258" s="52">
        <v>196.87889999999999</v>
      </c>
      <c r="D258" s="52">
        <v>98.439499999999995</v>
      </c>
      <c r="E258" s="52">
        <v>98.439499999999995</v>
      </c>
      <c r="F258" s="52">
        <v>393.75779999999997</v>
      </c>
      <c r="G258" s="52">
        <v>196.87889999999999</v>
      </c>
      <c r="H258" s="52">
        <v>196.87889999999999</v>
      </c>
      <c r="I258" s="52">
        <v>393.75779999999997</v>
      </c>
      <c r="J258" s="52">
        <v>376.08229999999998</v>
      </c>
      <c r="K258" s="52">
        <v>1128.2470000000001</v>
      </c>
      <c r="L258" s="52">
        <v>376.08229999999998</v>
      </c>
      <c r="M258" s="52">
        <v>376.08229999999998</v>
      </c>
      <c r="N258" s="5" t="s">
        <v>69</v>
      </c>
    </row>
    <row r="259" spans="1:14" x14ac:dyDescent="0.25">
      <c r="A259" s="51">
        <v>1.048</v>
      </c>
      <c r="B259" s="52">
        <v>3833.0295999999998</v>
      </c>
      <c r="C259" s="52">
        <v>197.0669</v>
      </c>
      <c r="D259" s="52">
        <v>98.533500000000004</v>
      </c>
      <c r="E259" s="52">
        <v>98.533500000000004</v>
      </c>
      <c r="F259" s="52">
        <v>394.13389999999998</v>
      </c>
      <c r="G259" s="52">
        <v>197.0669</v>
      </c>
      <c r="H259" s="52">
        <v>197.0669</v>
      </c>
      <c r="I259" s="52">
        <v>394.13389999999998</v>
      </c>
      <c r="J259" s="52">
        <v>376.08229999999998</v>
      </c>
      <c r="K259" s="52">
        <v>1128.2470000000001</v>
      </c>
      <c r="L259" s="52">
        <v>376.08229999999998</v>
      </c>
      <c r="M259" s="52">
        <v>376.08229999999998</v>
      </c>
      <c r="N259" s="5" t="s">
        <v>69</v>
      </c>
    </row>
    <row r="260" spans="1:14" x14ac:dyDescent="0.25">
      <c r="A260" s="51">
        <v>1.0489999999999999</v>
      </c>
      <c r="B260" s="52">
        <v>3834.5338999999999</v>
      </c>
      <c r="C260" s="52">
        <v>197.255</v>
      </c>
      <c r="D260" s="52">
        <v>98.627499999999998</v>
      </c>
      <c r="E260" s="52">
        <v>98.627499999999998</v>
      </c>
      <c r="F260" s="52">
        <v>394.51</v>
      </c>
      <c r="G260" s="52">
        <v>197.255</v>
      </c>
      <c r="H260" s="52">
        <v>197.255</v>
      </c>
      <c r="I260" s="52">
        <v>394.51</v>
      </c>
      <c r="J260" s="52">
        <v>376.08229999999998</v>
      </c>
      <c r="K260" s="52">
        <v>1128.2470000000001</v>
      </c>
      <c r="L260" s="52">
        <v>376.08229999999998</v>
      </c>
      <c r="M260" s="52">
        <v>376.08229999999998</v>
      </c>
      <c r="N260" s="5" t="s">
        <v>69</v>
      </c>
    </row>
    <row r="261" spans="1:14" x14ac:dyDescent="0.25">
      <c r="A261" s="51">
        <v>1.05</v>
      </c>
      <c r="B261" s="52">
        <v>3836.0382</v>
      </c>
      <c r="C261" s="52">
        <v>197.44300000000001</v>
      </c>
      <c r="D261" s="52">
        <v>98.721500000000006</v>
      </c>
      <c r="E261" s="52">
        <v>98.721500000000006</v>
      </c>
      <c r="F261" s="52">
        <v>394.8861</v>
      </c>
      <c r="G261" s="52">
        <v>197.44300000000001</v>
      </c>
      <c r="H261" s="52">
        <v>197.44300000000001</v>
      </c>
      <c r="I261" s="52">
        <v>394.8861</v>
      </c>
      <c r="J261" s="52">
        <v>376.08229999999998</v>
      </c>
      <c r="K261" s="52">
        <v>1128.2470000000001</v>
      </c>
      <c r="L261" s="52">
        <v>376.08229999999998</v>
      </c>
      <c r="M261" s="52">
        <v>376.08229999999998</v>
      </c>
      <c r="N261" s="5" t="s">
        <v>69</v>
      </c>
    </row>
    <row r="262" spans="1:14" x14ac:dyDescent="0.25">
      <c r="A262" s="51">
        <v>1.0509999999999999</v>
      </c>
      <c r="B262" s="52">
        <v>3837.5425</v>
      </c>
      <c r="C262" s="52">
        <v>197.6311</v>
      </c>
      <c r="D262" s="52">
        <v>98.8155</v>
      </c>
      <c r="E262" s="52">
        <v>98.8155</v>
      </c>
      <c r="F262" s="52">
        <v>395.26209999999998</v>
      </c>
      <c r="G262" s="52">
        <v>197.6311</v>
      </c>
      <c r="H262" s="52">
        <v>197.6311</v>
      </c>
      <c r="I262" s="52">
        <v>395.26209999999998</v>
      </c>
      <c r="J262" s="52">
        <v>376.08229999999998</v>
      </c>
      <c r="K262" s="52">
        <v>1128.2470000000001</v>
      </c>
      <c r="L262" s="52">
        <v>376.08229999999998</v>
      </c>
      <c r="M262" s="52">
        <v>376.08229999999998</v>
      </c>
      <c r="N262" s="5" t="s">
        <v>69</v>
      </c>
    </row>
    <row r="263" spans="1:14" x14ac:dyDescent="0.25">
      <c r="A263" s="51">
        <v>1.052</v>
      </c>
      <c r="B263" s="52">
        <v>3839.0468999999998</v>
      </c>
      <c r="C263" s="52">
        <v>197.81909999999999</v>
      </c>
      <c r="D263" s="52">
        <v>98.909599999999998</v>
      </c>
      <c r="E263" s="52">
        <v>98.909599999999998</v>
      </c>
      <c r="F263" s="52">
        <v>395.63819999999998</v>
      </c>
      <c r="G263" s="52">
        <v>197.81909999999999</v>
      </c>
      <c r="H263" s="52">
        <v>197.81909999999999</v>
      </c>
      <c r="I263" s="52">
        <v>395.63819999999998</v>
      </c>
      <c r="J263" s="52">
        <v>376.08229999999998</v>
      </c>
      <c r="K263" s="52">
        <v>1128.2470000000001</v>
      </c>
      <c r="L263" s="52">
        <v>376.08229999999998</v>
      </c>
      <c r="M263" s="52">
        <v>376.08229999999998</v>
      </c>
      <c r="N263" s="5" t="s">
        <v>69</v>
      </c>
    </row>
    <row r="264" spans="1:14" x14ac:dyDescent="0.25">
      <c r="A264" s="51">
        <v>1.0529999999999999</v>
      </c>
      <c r="B264" s="52">
        <v>3840.5511999999999</v>
      </c>
      <c r="C264" s="52">
        <v>198.00720000000001</v>
      </c>
      <c r="D264" s="52">
        <v>99.003600000000006</v>
      </c>
      <c r="E264" s="52">
        <v>99.003600000000006</v>
      </c>
      <c r="F264" s="52">
        <v>396.01429999999999</v>
      </c>
      <c r="G264" s="52">
        <v>198.00720000000001</v>
      </c>
      <c r="H264" s="52">
        <v>198.00720000000001</v>
      </c>
      <c r="I264" s="52">
        <v>396.01429999999999</v>
      </c>
      <c r="J264" s="52">
        <v>376.08229999999998</v>
      </c>
      <c r="K264" s="52">
        <v>1128.2470000000001</v>
      </c>
      <c r="L264" s="52">
        <v>376.08229999999998</v>
      </c>
      <c r="M264" s="52">
        <v>376.08229999999998</v>
      </c>
      <c r="N264" s="5" t="s">
        <v>69</v>
      </c>
    </row>
    <row r="265" spans="1:14" x14ac:dyDescent="0.25">
      <c r="A265" s="51">
        <v>1.054</v>
      </c>
      <c r="B265" s="52">
        <v>3842.0554999999999</v>
      </c>
      <c r="C265" s="52">
        <v>198.1952</v>
      </c>
      <c r="D265" s="52">
        <v>99.0976</v>
      </c>
      <c r="E265" s="52">
        <v>99.0976</v>
      </c>
      <c r="F265" s="52">
        <v>396.3904</v>
      </c>
      <c r="G265" s="52">
        <v>198.1952</v>
      </c>
      <c r="H265" s="52">
        <v>198.1952</v>
      </c>
      <c r="I265" s="52">
        <v>396.3904</v>
      </c>
      <c r="J265" s="52">
        <v>376.08229999999998</v>
      </c>
      <c r="K265" s="52">
        <v>1128.2470000000001</v>
      </c>
      <c r="L265" s="52">
        <v>376.08229999999998</v>
      </c>
      <c r="M265" s="52">
        <v>376.08229999999998</v>
      </c>
      <c r="N265" s="5" t="s">
        <v>69</v>
      </c>
    </row>
    <row r="266" spans="1:14" x14ac:dyDescent="0.25">
      <c r="A266" s="51">
        <v>1.0549999999999999</v>
      </c>
      <c r="B266" s="52">
        <v>3843.5599000000002</v>
      </c>
      <c r="C266" s="52">
        <v>198.38319999999999</v>
      </c>
      <c r="D266" s="52">
        <v>99.191599999999994</v>
      </c>
      <c r="E266" s="52">
        <v>99.191599999999994</v>
      </c>
      <c r="F266" s="52">
        <v>396.76650000000001</v>
      </c>
      <c r="G266" s="52">
        <v>198.38319999999999</v>
      </c>
      <c r="H266" s="52">
        <v>198.38319999999999</v>
      </c>
      <c r="I266" s="52">
        <v>396.76650000000001</v>
      </c>
      <c r="J266" s="52">
        <v>376.08229999999998</v>
      </c>
      <c r="K266" s="52">
        <v>1128.2470000000001</v>
      </c>
      <c r="L266" s="52">
        <v>376.08229999999998</v>
      </c>
      <c r="M266" s="52">
        <v>376.08229999999998</v>
      </c>
      <c r="N266" s="5" t="s">
        <v>69</v>
      </c>
    </row>
    <row r="267" spans="1:14" x14ac:dyDescent="0.25">
      <c r="A267" s="51">
        <v>1.056</v>
      </c>
      <c r="B267" s="52">
        <v>3845.0641999999998</v>
      </c>
      <c r="C267" s="52">
        <v>198.57130000000001</v>
      </c>
      <c r="D267" s="52">
        <v>99.285600000000002</v>
      </c>
      <c r="E267" s="52">
        <v>99.285600000000002</v>
      </c>
      <c r="F267" s="52">
        <v>397.14249999999998</v>
      </c>
      <c r="G267" s="52">
        <v>198.57130000000001</v>
      </c>
      <c r="H267" s="52">
        <v>198.57130000000001</v>
      </c>
      <c r="I267" s="52">
        <v>397.14249999999998</v>
      </c>
      <c r="J267" s="52">
        <v>376.08229999999998</v>
      </c>
      <c r="K267" s="52">
        <v>1128.2470000000001</v>
      </c>
      <c r="L267" s="52">
        <v>376.08229999999998</v>
      </c>
      <c r="M267" s="52">
        <v>376.08229999999998</v>
      </c>
      <c r="N267" s="5" t="s">
        <v>69</v>
      </c>
    </row>
    <row r="268" spans="1:14" x14ac:dyDescent="0.25">
      <c r="A268" s="51">
        <v>1.0569999999999999</v>
      </c>
      <c r="B268" s="52">
        <v>3846.5684999999999</v>
      </c>
      <c r="C268" s="52">
        <v>198.7593</v>
      </c>
      <c r="D268" s="52">
        <v>99.3797</v>
      </c>
      <c r="E268" s="52">
        <v>99.3797</v>
      </c>
      <c r="F268" s="52">
        <v>397.51859999999999</v>
      </c>
      <c r="G268" s="52">
        <v>198.7593</v>
      </c>
      <c r="H268" s="52">
        <v>198.7593</v>
      </c>
      <c r="I268" s="52">
        <v>397.51859999999999</v>
      </c>
      <c r="J268" s="52">
        <v>376.08229999999998</v>
      </c>
      <c r="K268" s="52">
        <v>1128.2470000000001</v>
      </c>
      <c r="L268" s="52">
        <v>376.08229999999998</v>
      </c>
      <c r="M268" s="52">
        <v>376.08229999999998</v>
      </c>
      <c r="N268" s="5" t="s">
        <v>69</v>
      </c>
    </row>
    <row r="269" spans="1:14" x14ac:dyDescent="0.25">
      <c r="A269" s="51">
        <v>1.0580000000000001</v>
      </c>
      <c r="B269" s="52">
        <v>3848.0727999999999</v>
      </c>
      <c r="C269" s="52">
        <v>198.94739999999999</v>
      </c>
      <c r="D269" s="52">
        <v>99.473699999999994</v>
      </c>
      <c r="E269" s="52">
        <v>99.473699999999994</v>
      </c>
      <c r="F269" s="52">
        <v>397.8947</v>
      </c>
      <c r="G269" s="52">
        <v>198.94739999999999</v>
      </c>
      <c r="H269" s="52">
        <v>198.94739999999999</v>
      </c>
      <c r="I269" s="52">
        <v>397.8947</v>
      </c>
      <c r="J269" s="52">
        <v>376.08229999999998</v>
      </c>
      <c r="K269" s="52">
        <v>1128.2470000000001</v>
      </c>
      <c r="L269" s="52">
        <v>376.08229999999998</v>
      </c>
      <c r="M269" s="52">
        <v>376.08229999999998</v>
      </c>
      <c r="N269" s="5" t="s">
        <v>69</v>
      </c>
    </row>
    <row r="270" spans="1:14" x14ac:dyDescent="0.25">
      <c r="A270" s="51">
        <v>1.0589999999999999</v>
      </c>
      <c r="B270" s="52">
        <v>3849.5772000000002</v>
      </c>
      <c r="C270" s="52">
        <v>199.1354</v>
      </c>
      <c r="D270" s="52">
        <v>99.567700000000002</v>
      </c>
      <c r="E270" s="52">
        <v>99.567700000000002</v>
      </c>
      <c r="F270" s="52">
        <v>398.27080000000001</v>
      </c>
      <c r="G270" s="52">
        <v>199.1354</v>
      </c>
      <c r="H270" s="52">
        <v>199.1354</v>
      </c>
      <c r="I270" s="52">
        <v>398.27080000000001</v>
      </c>
      <c r="J270" s="52">
        <v>376.08229999999998</v>
      </c>
      <c r="K270" s="52">
        <v>1128.2470000000001</v>
      </c>
      <c r="L270" s="52">
        <v>376.08229999999998</v>
      </c>
      <c r="M270" s="52">
        <v>376.08229999999998</v>
      </c>
      <c r="N270" s="5" t="s">
        <v>69</v>
      </c>
    </row>
    <row r="271" spans="1:14" x14ac:dyDescent="0.25">
      <c r="A271" s="51">
        <v>1.06</v>
      </c>
      <c r="B271" s="52">
        <v>3851.0814999999998</v>
      </c>
      <c r="C271" s="52">
        <v>199.32339999999999</v>
      </c>
      <c r="D271" s="52">
        <v>99.661699999999996</v>
      </c>
      <c r="E271" s="52">
        <v>99.661699999999996</v>
      </c>
      <c r="F271" s="52">
        <v>398.64690000000002</v>
      </c>
      <c r="G271" s="52">
        <v>199.32339999999999</v>
      </c>
      <c r="H271" s="52">
        <v>199.32339999999999</v>
      </c>
      <c r="I271" s="52">
        <v>398.64690000000002</v>
      </c>
      <c r="J271" s="52">
        <v>376.08229999999998</v>
      </c>
      <c r="K271" s="52">
        <v>1128.2470000000001</v>
      </c>
      <c r="L271" s="52">
        <v>376.08229999999998</v>
      </c>
      <c r="M271" s="52">
        <v>376.08229999999998</v>
      </c>
      <c r="N271" s="5" t="s">
        <v>69</v>
      </c>
    </row>
    <row r="272" spans="1:14" x14ac:dyDescent="0.25">
      <c r="A272" s="51">
        <v>1.0609999999999999</v>
      </c>
      <c r="B272" s="52">
        <v>4354.9710999999998</v>
      </c>
      <c r="C272" s="52">
        <v>262.30959999999999</v>
      </c>
      <c r="D272" s="52">
        <v>131.15479999999999</v>
      </c>
      <c r="E272" s="52">
        <v>131.15479999999999</v>
      </c>
      <c r="F272" s="52">
        <v>524.61929999999995</v>
      </c>
      <c r="G272" s="52">
        <v>262.30959999999999</v>
      </c>
      <c r="H272" s="52">
        <v>262.30959999999999</v>
      </c>
      <c r="I272" s="52">
        <v>524.61929999999995</v>
      </c>
      <c r="J272" s="52">
        <v>376.08229999999998</v>
      </c>
      <c r="K272" s="52">
        <v>1128.2470000000001</v>
      </c>
      <c r="L272" s="52">
        <v>376.08229999999998</v>
      </c>
      <c r="M272" s="52">
        <v>376.08229999999998</v>
      </c>
      <c r="N272" s="5" t="s">
        <v>69</v>
      </c>
    </row>
    <row r="273" spans="1:14" x14ac:dyDescent="0.25">
      <c r="A273" s="51">
        <v>1.0620000000000001</v>
      </c>
      <c r="B273" s="52">
        <v>4356.9489999999996</v>
      </c>
      <c r="C273" s="52">
        <v>262.55689999999998</v>
      </c>
      <c r="D273" s="52">
        <v>131.2784</v>
      </c>
      <c r="E273" s="52">
        <v>131.2784</v>
      </c>
      <c r="F273" s="52">
        <v>525.11369999999999</v>
      </c>
      <c r="G273" s="52">
        <v>262.55689999999998</v>
      </c>
      <c r="H273" s="52">
        <v>262.55689999999998</v>
      </c>
      <c r="I273" s="52">
        <v>525.11369999999999</v>
      </c>
      <c r="J273" s="52">
        <v>376.08229999999998</v>
      </c>
      <c r="K273" s="52">
        <v>1128.2470000000001</v>
      </c>
      <c r="L273" s="52">
        <v>376.08229999999998</v>
      </c>
      <c r="M273" s="52">
        <v>376.08229999999998</v>
      </c>
      <c r="N273" s="5" t="s">
        <v>69</v>
      </c>
    </row>
    <row r="274" spans="1:14" x14ac:dyDescent="0.25">
      <c r="A274" s="51">
        <v>1.0629999999999999</v>
      </c>
      <c r="B274" s="52">
        <v>4358.9268000000002</v>
      </c>
      <c r="C274" s="52">
        <v>262.80410000000001</v>
      </c>
      <c r="D274" s="52">
        <v>131.40209999999999</v>
      </c>
      <c r="E274" s="52">
        <v>131.40209999999999</v>
      </c>
      <c r="F274" s="52">
        <v>525.60820000000001</v>
      </c>
      <c r="G274" s="52">
        <v>262.80410000000001</v>
      </c>
      <c r="H274" s="52">
        <v>262.80410000000001</v>
      </c>
      <c r="I274" s="52">
        <v>525.60820000000001</v>
      </c>
      <c r="J274" s="52">
        <v>376.08229999999998</v>
      </c>
      <c r="K274" s="52">
        <v>1128.2470000000001</v>
      </c>
      <c r="L274" s="52">
        <v>376.08229999999998</v>
      </c>
      <c r="M274" s="52">
        <v>376.08229999999998</v>
      </c>
      <c r="N274" s="5" t="s">
        <v>69</v>
      </c>
    </row>
    <row r="275" spans="1:14" x14ac:dyDescent="0.25">
      <c r="A275" s="51">
        <v>1.0640000000000001</v>
      </c>
      <c r="B275" s="52">
        <v>4360.9045999999998</v>
      </c>
      <c r="C275" s="52">
        <v>263.05130000000003</v>
      </c>
      <c r="D275" s="52">
        <v>131.5257</v>
      </c>
      <c r="E275" s="52">
        <v>131.5257</v>
      </c>
      <c r="F275" s="52">
        <v>526.10270000000003</v>
      </c>
      <c r="G275" s="52">
        <v>263.05130000000003</v>
      </c>
      <c r="H275" s="52">
        <v>263.05130000000003</v>
      </c>
      <c r="I275" s="52">
        <v>526.10270000000003</v>
      </c>
      <c r="J275" s="52">
        <v>376.08229999999998</v>
      </c>
      <c r="K275" s="52">
        <v>1128.2470000000001</v>
      </c>
      <c r="L275" s="52">
        <v>376.08229999999998</v>
      </c>
      <c r="M275" s="52">
        <v>376.08229999999998</v>
      </c>
      <c r="N275" s="5" t="s">
        <v>69</v>
      </c>
    </row>
    <row r="276" spans="1:14" x14ac:dyDescent="0.25">
      <c r="A276" s="51">
        <v>1.0649999999999999</v>
      </c>
      <c r="B276" s="52">
        <v>4362.8824999999997</v>
      </c>
      <c r="C276" s="52">
        <v>263.29860000000002</v>
      </c>
      <c r="D276" s="52">
        <v>131.64930000000001</v>
      </c>
      <c r="E276" s="52">
        <v>131.64930000000001</v>
      </c>
      <c r="F276" s="52">
        <v>526.59709999999995</v>
      </c>
      <c r="G276" s="52">
        <v>263.29860000000002</v>
      </c>
      <c r="H276" s="52">
        <v>263.29860000000002</v>
      </c>
      <c r="I276" s="52">
        <v>526.59709999999995</v>
      </c>
      <c r="J276" s="52">
        <v>376.08229999999998</v>
      </c>
      <c r="K276" s="52">
        <v>1128.2470000000001</v>
      </c>
      <c r="L276" s="52">
        <v>376.08229999999998</v>
      </c>
      <c r="M276" s="52">
        <v>376.08229999999998</v>
      </c>
      <c r="N276" s="5" t="s">
        <v>69</v>
      </c>
    </row>
    <row r="277" spans="1:14" x14ac:dyDescent="0.25">
      <c r="A277" s="51">
        <v>1.0660000000000001</v>
      </c>
      <c r="B277" s="52">
        <v>4364.8603000000003</v>
      </c>
      <c r="C277" s="52">
        <v>263.54579999999999</v>
      </c>
      <c r="D277" s="52">
        <v>131.77289999999999</v>
      </c>
      <c r="E277" s="52">
        <v>131.77289999999999</v>
      </c>
      <c r="F277" s="52">
        <v>527.09159999999997</v>
      </c>
      <c r="G277" s="52">
        <v>263.54579999999999</v>
      </c>
      <c r="H277" s="52">
        <v>263.54579999999999</v>
      </c>
      <c r="I277" s="52">
        <v>527.09159999999997</v>
      </c>
      <c r="J277" s="52">
        <v>376.08229999999998</v>
      </c>
      <c r="K277" s="52">
        <v>1128.2470000000001</v>
      </c>
      <c r="L277" s="52">
        <v>376.08229999999998</v>
      </c>
      <c r="M277" s="52">
        <v>376.08229999999998</v>
      </c>
      <c r="N277" s="5" t="s">
        <v>69</v>
      </c>
    </row>
    <row r="278" spans="1:14" x14ac:dyDescent="0.25">
      <c r="A278" s="51">
        <v>1.0669999999999999</v>
      </c>
      <c r="B278" s="52">
        <v>4366.8380999999999</v>
      </c>
      <c r="C278" s="52">
        <v>263.79300000000001</v>
      </c>
      <c r="D278" s="52">
        <v>131.8965</v>
      </c>
      <c r="E278" s="52">
        <v>131.8965</v>
      </c>
      <c r="F278" s="52">
        <v>527.58600000000001</v>
      </c>
      <c r="G278" s="52">
        <v>263.79300000000001</v>
      </c>
      <c r="H278" s="52">
        <v>263.79300000000001</v>
      </c>
      <c r="I278" s="52">
        <v>527.58600000000001</v>
      </c>
      <c r="J278" s="52">
        <v>376.08229999999998</v>
      </c>
      <c r="K278" s="52">
        <v>1128.2470000000001</v>
      </c>
      <c r="L278" s="52">
        <v>376.08229999999998</v>
      </c>
      <c r="M278" s="52">
        <v>376.08229999999998</v>
      </c>
      <c r="N278" s="5" t="s">
        <v>69</v>
      </c>
    </row>
    <row r="279" spans="1:14" x14ac:dyDescent="0.25">
      <c r="A279" s="51">
        <v>1.0680000000000001</v>
      </c>
      <c r="B279" s="52">
        <v>4368.8159999999998</v>
      </c>
      <c r="C279" s="52">
        <v>264.04020000000003</v>
      </c>
      <c r="D279" s="52">
        <v>132.02010000000001</v>
      </c>
      <c r="E279" s="52">
        <v>132.02010000000001</v>
      </c>
      <c r="F279" s="52">
        <v>528.08050000000003</v>
      </c>
      <c r="G279" s="52">
        <v>264.04020000000003</v>
      </c>
      <c r="H279" s="52">
        <v>264.04020000000003</v>
      </c>
      <c r="I279" s="52">
        <v>528.08050000000003</v>
      </c>
      <c r="J279" s="52">
        <v>376.08229999999998</v>
      </c>
      <c r="K279" s="52">
        <v>1128.2470000000001</v>
      </c>
      <c r="L279" s="52">
        <v>376.08229999999998</v>
      </c>
      <c r="M279" s="52">
        <v>376.08229999999998</v>
      </c>
      <c r="N279" s="5" t="s">
        <v>69</v>
      </c>
    </row>
    <row r="280" spans="1:14" x14ac:dyDescent="0.25">
      <c r="A280" s="51">
        <v>1.069</v>
      </c>
      <c r="B280" s="52">
        <v>4370.7938000000004</v>
      </c>
      <c r="C280" s="52">
        <v>264.28750000000002</v>
      </c>
      <c r="D280" s="52">
        <v>132.1437</v>
      </c>
      <c r="E280" s="52">
        <v>132.1437</v>
      </c>
      <c r="F280" s="52">
        <v>528.57489999999996</v>
      </c>
      <c r="G280" s="52">
        <v>264.28750000000002</v>
      </c>
      <c r="H280" s="52">
        <v>264.28750000000002</v>
      </c>
      <c r="I280" s="52">
        <v>528.57489999999996</v>
      </c>
      <c r="J280" s="52">
        <v>376.08229999999998</v>
      </c>
      <c r="K280" s="52">
        <v>1128.2470000000001</v>
      </c>
      <c r="L280" s="52">
        <v>376.08229999999998</v>
      </c>
      <c r="M280" s="52">
        <v>376.08229999999998</v>
      </c>
      <c r="N280" s="5" t="s">
        <v>69</v>
      </c>
    </row>
    <row r="281" spans="1:14" x14ac:dyDescent="0.25">
      <c r="A281" s="51">
        <v>1.07</v>
      </c>
      <c r="B281" s="52">
        <v>4372.7716</v>
      </c>
      <c r="C281" s="52">
        <v>264.53469999999999</v>
      </c>
      <c r="D281" s="52">
        <v>132.26740000000001</v>
      </c>
      <c r="E281" s="52">
        <v>132.26740000000001</v>
      </c>
      <c r="F281" s="52">
        <v>529.06939999999997</v>
      </c>
      <c r="G281" s="52">
        <v>264.53469999999999</v>
      </c>
      <c r="H281" s="52">
        <v>264.53469999999999</v>
      </c>
      <c r="I281" s="52">
        <v>529.06939999999997</v>
      </c>
      <c r="J281" s="52">
        <v>376.08229999999998</v>
      </c>
      <c r="K281" s="52">
        <v>1128.2470000000001</v>
      </c>
      <c r="L281" s="52">
        <v>376.08229999999998</v>
      </c>
      <c r="M281" s="52">
        <v>376.08229999999998</v>
      </c>
      <c r="N281" s="5" t="s">
        <v>69</v>
      </c>
    </row>
    <row r="282" spans="1:14" x14ac:dyDescent="0.25">
      <c r="A282" s="51">
        <v>1.071</v>
      </c>
      <c r="B282" s="52">
        <v>4374.7493999999997</v>
      </c>
      <c r="C282" s="52">
        <v>264.78190000000001</v>
      </c>
      <c r="D282" s="52">
        <v>132.39099999999999</v>
      </c>
      <c r="E282" s="52">
        <v>132.39099999999999</v>
      </c>
      <c r="F282" s="52">
        <v>529.56389999999999</v>
      </c>
      <c r="G282" s="52">
        <v>264.78190000000001</v>
      </c>
      <c r="H282" s="52">
        <v>264.78190000000001</v>
      </c>
      <c r="I282" s="52">
        <v>529.56389999999999</v>
      </c>
      <c r="J282" s="52">
        <v>376.08229999999998</v>
      </c>
      <c r="K282" s="52">
        <v>1128.2470000000001</v>
      </c>
      <c r="L282" s="52">
        <v>376.08229999999998</v>
      </c>
      <c r="M282" s="52">
        <v>376.08229999999998</v>
      </c>
      <c r="N282" s="5" t="s">
        <v>69</v>
      </c>
    </row>
    <row r="283" spans="1:14" x14ac:dyDescent="0.25">
      <c r="A283" s="51">
        <v>1.0720000000000001</v>
      </c>
      <c r="B283" s="52">
        <v>4376.7272999999996</v>
      </c>
      <c r="C283" s="52">
        <v>265.0292</v>
      </c>
      <c r="D283" s="52">
        <v>132.5146</v>
      </c>
      <c r="E283" s="52">
        <v>132.5146</v>
      </c>
      <c r="F283" s="52">
        <v>530.05830000000003</v>
      </c>
      <c r="G283" s="52">
        <v>265.0292</v>
      </c>
      <c r="H283" s="52">
        <v>265.0292</v>
      </c>
      <c r="I283" s="52">
        <v>530.05830000000003</v>
      </c>
      <c r="J283" s="52">
        <v>376.08229999999998</v>
      </c>
      <c r="K283" s="52">
        <v>1128.2470000000001</v>
      </c>
      <c r="L283" s="52">
        <v>376.08229999999998</v>
      </c>
      <c r="M283" s="52">
        <v>376.08229999999998</v>
      </c>
      <c r="N283" s="5" t="s">
        <v>69</v>
      </c>
    </row>
    <row r="284" spans="1:14" x14ac:dyDescent="0.25">
      <c r="A284" s="51">
        <v>1.073</v>
      </c>
      <c r="B284" s="52">
        <v>4378.7051000000001</v>
      </c>
      <c r="C284" s="52">
        <v>265.27640000000002</v>
      </c>
      <c r="D284" s="52">
        <v>132.63820000000001</v>
      </c>
      <c r="E284" s="52">
        <v>132.63820000000001</v>
      </c>
      <c r="F284" s="52">
        <v>530.55280000000005</v>
      </c>
      <c r="G284" s="52">
        <v>265.27640000000002</v>
      </c>
      <c r="H284" s="52">
        <v>265.27640000000002</v>
      </c>
      <c r="I284" s="52">
        <v>530.55280000000005</v>
      </c>
      <c r="J284" s="52">
        <v>376.08229999999998</v>
      </c>
      <c r="K284" s="52">
        <v>1128.2470000000001</v>
      </c>
      <c r="L284" s="52">
        <v>376.08229999999998</v>
      </c>
      <c r="M284" s="52">
        <v>376.08229999999998</v>
      </c>
      <c r="N284" s="5" t="s">
        <v>69</v>
      </c>
    </row>
    <row r="285" spans="1:14" x14ac:dyDescent="0.25">
      <c r="A285" s="51">
        <v>1.0740000000000001</v>
      </c>
      <c r="B285" s="52">
        <v>4380.6828999999998</v>
      </c>
      <c r="C285" s="52">
        <v>265.52359999999999</v>
      </c>
      <c r="D285" s="52">
        <v>132.76179999999999</v>
      </c>
      <c r="E285" s="52">
        <v>132.76179999999999</v>
      </c>
      <c r="F285" s="52">
        <v>531.04719999999998</v>
      </c>
      <c r="G285" s="52">
        <v>265.52359999999999</v>
      </c>
      <c r="H285" s="52">
        <v>265.52359999999999</v>
      </c>
      <c r="I285" s="52">
        <v>531.04719999999998</v>
      </c>
      <c r="J285" s="52">
        <v>376.08229999999998</v>
      </c>
      <c r="K285" s="52">
        <v>1128.2470000000001</v>
      </c>
      <c r="L285" s="52">
        <v>376.08229999999998</v>
      </c>
      <c r="M285" s="52">
        <v>376.08229999999998</v>
      </c>
      <c r="N285" s="5" t="s">
        <v>69</v>
      </c>
    </row>
    <row r="286" spans="1:14" x14ac:dyDescent="0.25">
      <c r="A286" s="51">
        <v>1.075</v>
      </c>
      <c r="B286" s="52">
        <v>4382.6607999999997</v>
      </c>
      <c r="C286" s="52">
        <v>265.77080000000001</v>
      </c>
      <c r="D286" s="52">
        <v>132.8854</v>
      </c>
      <c r="E286" s="52">
        <v>132.8854</v>
      </c>
      <c r="F286" s="52">
        <v>531.54169999999999</v>
      </c>
      <c r="G286" s="52">
        <v>265.77080000000001</v>
      </c>
      <c r="H286" s="52">
        <v>265.77080000000001</v>
      </c>
      <c r="I286" s="52">
        <v>531.54169999999999</v>
      </c>
      <c r="J286" s="52">
        <v>376.08229999999998</v>
      </c>
      <c r="K286" s="52">
        <v>1128.2470000000001</v>
      </c>
      <c r="L286" s="52">
        <v>376.08229999999998</v>
      </c>
      <c r="M286" s="52">
        <v>376.08229999999998</v>
      </c>
      <c r="N286" s="5" t="s">
        <v>69</v>
      </c>
    </row>
    <row r="287" spans="1:14" x14ac:dyDescent="0.25">
      <c r="A287" s="51">
        <v>1.0760000000000001</v>
      </c>
      <c r="B287" s="52">
        <v>4384.6386000000002</v>
      </c>
      <c r="C287" s="52">
        <v>266.0181</v>
      </c>
      <c r="D287" s="52">
        <v>133.00899999999999</v>
      </c>
      <c r="E287" s="52">
        <v>133.00899999999999</v>
      </c>
      <c r="F287" s="52">
        <v>532.03610000000003</v>
      </c>
      <c r="G287" s="52">
        <v>266.0181</v>
      </c>
      <c r="H287" s="52">
        <v>266.0181</v>
      </c>
      <c r="I287" s="52">
        <v>532.03610000000003</v>
      </c>
      <c r="J287" s="52">
        <v>376.08229999999998</v>
      </c>
      <c r="K287" s="52">
        <v>1128.2470000000001</v>
      </c>
      <c r="L287" s="52">
        <v>376.08229999999998</v>
      </c>
      <c r="M287" s="52">
        <v>376.08229999999998</v>
      </c>
      <c r="N287" s="5" t="s">
        <v>69</v>
      </c>
    </row>
    <row r="288" spans="1:14" x14ac:dyDescent="0.25">
      <c r="A288" s="51">
        <v>1.077</v>
      </c>
      <c r="B288" s="52">
        <v>4386.6163999999999</v>
      </c>
      <c r="C288" s="52">
        <v>266.26530000000002</v>
      </c>
      <c r="D288" s="52">
        <v>133.1327</v>
      </c>
      <c r="E288" s="52">
        <v>133.1327</v>
      </c>
      <c r="F288" s="52">
        <v>532.53060000000005</v>
      </c>
      <c r="G288" s="52">
        <v>266.26530000000002</v>
      </c>
      <c r="H288" s="52">
        <v>266.26530000000002</v>
      </c>
      <c r="I288" s="52">
        <v>532.53060000000005</v>
      </c>
      <c r="J288" s="52">
        <v>376.08229999999998</v>
      </c>
      <c r="K288" s="52">
        <v>1128.2470000000001</v>
      </c>
      <c r="L288" s="52">
        <v>376.08229999999998</v>
      </c>
      <c r="M288" s="52">
        <v>376.08229999999998</v>
      </c>
      <c r="N288" s="5" t="s">
        <v>69</v>
      </c>
    </row>
    <row r="289" spans="1:14" x14ac:dyDescent="0.25">
      <c r="A289" s="51">
        <v>1.0780000000000001</v>
      </c>
      <c r="B289" s="52">
        <v>4388.5941999999995</v>
      </c>
      <c r="C289" s="52">
        <v>266.51249999999999</v>
      </c>
      <c r="D289" s="52">
        <v>133.25630000000001</v>
      </c>
      <c r="E289" s="52">
        <v>133.25630000000001</v>
      </c>
      <c r="F289" s="52">
        <v>533.02509999999995</v>
      </c>
      <c r="G289" s="52">
        <v>266.51249999999999</v>
      </c>
      <c r="H289" s="52">
        <v>266.51249999999999</v>
      </c>
      <c r="I289" s="52">
        <v>533.02509999999995</v>
      </c>
      <c r="J289" s="52">
        <v>376.08229999999998</v>
      </c>
      <c r="K289" s="52">
        <v>1128.2470000000001</v>
      </c>
      <c r="L289" s="52">
        <v>376.08229999999998</v>
      </c>
      <c r="M289" s="52">
        <v>376.08229999999998</v>
      </c>
      <c r="N289" s="5" t="s">
        <v>69</v>
      </c>
    </row>
    <row r="290" spans="1:14" x14ac:dyDescent="0.25">
      <c r="A290" s="51">
        <v>1.079</v>
      </c>
      <c r="B290" s="52">
        <v>4390.5721000000003</v>
      </c>
      <c r="C290" s="52">
        <v>266.75979999999998</v>
      </c>
      <c r="D290" s="52">
        <v>133.37989999999999</v>
      </c>
      <c r="E290" s="52">
        <v>133.37989999999999</v>
      </c>
      <c r="F290" s="52">
        <v>533.51949999999999</v>
      </c>
      <c r="G290" s="52">
        <v>266.75979999999998</v>
      </c>
      <c r="H290" s="52">
        <v>266.75979999999998</v>
      </c>
      <c r="I290" s="52">
        <v>533.51949999999999</v>
      </c>
      <c r="J290" s="52">
        <v>376.08229999999998</v>
      </c>
      <c r="K290" s="52">
        <v>1128.2470000000001</v>
      </c>
      <c r="L290" s="52">
        <v>376.08229999999998</v>
      </c>
      <c r="M290" s="52">
        <v>376.08229999999998</v>
      </c>
      <c r="N290" s="5" t="s">
        <v>69</v>
      </c>
    </row>
    <row r="291" spans="1:14" x14ac:dyDescent="0.25">
      <c r="A291" s="51">
        <v>1.08</v>
      </c>
      <c r="B291" s="52">
        <v>4392.5499</v>
      </c>
      <c r="C291" s="52">
        <v>267.00700000000001</v>
      </c>
      <c r="D291" s="52">
        <v>133.5035</v>
      </c>
      <c r="E291" s="52">
        <v>133.5035</v>
      </c>
      <c r="F291" s="52">
        <v>534.01400000000001</v>
      </c>
      <c r="G291" s="52">
        <v>267.00700000000001</v>
      </c>
      <c r="H291" s="52">
        <v>267.00700000000001</v>
      </c>
      <c r="I291" s="52">
        <v>534.01400000000001</v>
      </c>
      <c r="J291" s="52">
        <v>376.08229999999998</v>
      </c>
      <c r="K291" s="52">
        <v>1128.2470000000001</v>
      </c>
      <c r="L291" s="52">
        <v>376.08229999999998</v>
      </c>
      <c r="M291" s="52">
        <v>376.08229999999998</v>
      </c>
      <c r="N291" s="5" t="s">
        <v>69</v>
      </c>
    </row>
    <row r="292" spans="1:14" x14ac:dyDescent="0.25">
      <c r="A292" s="51">
        <v>1.081</v>
      </c>
      <c r="B292" s="52">
        <v>4394.5276999999996</v>
      </c>
      <c r="C292" s="52">
        <v>267.25420000000003</v>
      </c>
      <c r="D292" s="52">
        <v>133.62710000000001</v>
      </c>
      <c r="E292" s="52">
        <v>133.62710000000001</v>
      </c>
      <c r="F292" s="52">
        <v>534.50840000000005</v>
      </c>
      <c r="G292" s="52">
        <v>267.25420000000003</v>
      </c>
      <c r="H292" s="52">
        <v>267.25420000000003</v>
      </c>
      <c r="I292" s="52">
        <v>534.50840000000005</v>
      </c>
      <c r="J292" s="52">
        <v>376.08229999999998</v>
      </c>
      <c r="K292" s="52">
        <v>1128.2470000000001</v>
      </c>
      <c r="L292" s="52">
        <v>376.08229999999998</v>
      </c>
      <c r="M292" s="52">
        <v>376.08229999999998</v>
      </c>
      <c r="N292" s="5" t="s">
        <v>69</v>
      </c>
    </row>
    <row r="293" spans="1:14" x14ac:dyDescent="0.25">
      <c r="A293" s="51">
        <v>1.0820000000000001</v>
      </c>
      <c r="B293" s="52">
        <v>4396.5056000000004</v>
      </c>
      <c r="C293" s="52">
        <v>267.50139999999999</v>
      </c>
      <c r="D293" s="52">
        <v>133.75069999999999</v>
      </c>
      <c r="E293" s="52">
        <v>133.75069999999999</v>
      </c>
      <c r="F293" s="52">
        <v>535.00289999999995</v>
      </c>
      <c r="G293" s="52">
        <v>267.50139999999999</v>
      </c>
      <c r="H293" s="52">
        <v>267.50139999999999</v>
      </c>
      <c r="I293" s="52">
        <v>535.00289999999995</v>
      </c>
      <c r="J293" s="52">
        <v>376.08229999999998</v>
      </c>
      <c r="K293" s="52">
        <v>1128.2470000000001</v>
      </c>
      <c r="L293" s="52">
        <v>376.08229999999998</v>
      </c>
      <c r="M293" s="52">
        <v>376.08229999999998</v>
      </c>
      <c r="N293" s="5" t="s">
        <v>69</v>
      </c>
    </row>
    <row r="294" spans="1:14" x14ac:dyDescent="0.25">
      <c r="A294" s="51">
        <v>1.083</v>
      </c>
      <c r="B294" s="52">
        <v>4398.4834000000001</v>
      </c>
      <c r="C294" s="52">
        <v>267.74869999999999</v>
      </c>
      <c r="D294" s="52">
        <v>133.87430000000001</v>
      </c>
      <c r="E294" s="52">
        <v>133.87430000000001</v>
      </c>
      <c r="F294" s="52">
        <v>535.4973</v>
      </c>
      <c r="G294" s="52">
        <v>267.74869999999999</v>
      </c>
      <c r="H294" s="52">
        <v>267.74869999999999</v>
      </c>
      <c r="I294" s="52">
        <v>535.4973</v>
      </c>
      <c r="J294" s="52">
        <v>376.08229999999998</v>
      </c>
      <c r="K294" s="52">
        <v>1128.2470000000001</v>
      </c>
      <c r="L294" s="52">
        <v>376.08229999999998</v>
      </c>
      <c r="M294" s="52">
        <v>376.08229999999998</v>
      </c>
      <c r="N294" s="5" t="s">
        <v>69</v>
      </c>
    </row>
    <row r="295" spans="1:14" x14ac:dyDescent="0.25">
      <c r="A295" s="51">
        <v>1.0840000000000001</v>
      </c>
      <c r="B295" s="52">
        <v>4400.4611999999997</v>
      </c>
      <c r="C295" s="52">
        <v>267.99590000000001</v>
      </c>
      <c r="D295" s="52">
        <v>133.99799999999999</v>
      </c>
      <c r="E295" s="52">
        <v>133.99799999999999</v>
      </c>
      <c r="F295" s="52">
        <v>535.99180000000001</v>
      </c>
      <c r="G295" s="52">
        <v>267.99590000000001</v>
      </c>
      <c r="H295" s="52">
        <v>267.99590000000001</v>
      </c>
      <c r="I295" s="52">
        <v>535.99180000000001</v>
      </c>
      <c r="J295" s="52">
        <v>376.08229999999998</v>
      </c>
      <c r="K295" s="52">
        <v>1128.2470000000001</v>
      </c>
      <c r="L295" s="52">
        <v>376.08229999999998</v>
      </c>
      <c r="M295" s="52">
        <v>376.08229999999998</v>
      </c>
      <c r="N295" s="5" t="s">
        <v>69</v>
      </c>
    </row>
    <row r="296" spans="1:14" x14ac:dyDescent="0.25">
      <c r="A296" s="51">
        <v>1.085</v>
      </c>
      <c r="B296" s="52">
        <v>4402.4390999999996</v>
      </c>
      <c r="C296" s="52">
        <v>268.24310000000003</v>
      </c>
      <c r="D296" s="52">
        <v>134.1216</v>
      </c>
      <c r="E296" s="52">
        <v>134.1216</v>
      </c>
      <c r="F296" s="52">
        <v>536.48630000000003</v>
      </c>
      <c r="G296" s="52">
        <v>268.24310000000003</v>
      </c>
      <c r="H296" s="52">
        <v>268.24310000000003</v>
      </c>
      <c r="I296" s="52">
        <v>536.48630000000003</v>
      </c>
      <c r="J296" s="52">
        <v>376.08229999999998</v>
      </c>
      <c r="K296" s="52">
        <v>1128.2470000000001</v>
      </c>
      <c r="L296" s="52">
        <v>376.08229999999998</v>
      </c>
      <c r="M296" s="52">
        <v>376.08229999999998</v>
      </c>
      <c r="N296" s="5" t="s">
        <v>69</v>
      </c>
    </row>
    <row r="297" spans="1:14" x14ac:dyDescent="0.25">
      <c r="A297" s="51">
        <v>1.0860000000000001</v>
      </c>
      <c r="B297" s="52">
        <v>4404.4169000000002</v>
      </c>
      <c r="C297" s="52">
        <v>268.49040000000002</v>
      </c>
      <c r="D297" s="52">
        <v>134.24520000000001</v>
      </c>
      <c r="E297" s="52">
        <v>134.24520000000001</v>
      </c>
      <c r="F297" s="52">
        <v>536.98069999999996</v>
      </c>
      <c r="G297" s="52">
        <v>268.49040000000002</v>
      </c>
      <c r="H297" s="52">
        <v>268.49040000000002</v>
      </c>
      <c r="I297" s="52">
        <v>536.98069999999996</v>
      </c>
      <c r="J297" s="52">
        <v>376.08229999999998</v>
      </c>
      <c r="K297" s="52">
        <v>1128.2470000000001</v>
      </c>
      <c r="L297" s="52">
        <v>376.08229999999998</v>
      </c>
      <c r="M297" s="52">
        <v>376.08229999999998</v>
      </c>
      <c r="N297" s="5" t="s">
        <v>69</v>
      </c>
    </row>
    <row r="298" spans="1:14" x14ac:dyDescent="0.25">
      <c r="A298" s="51">
        <v>1.087</v>
      </c>
      <c r="B298" s="52">
        <v>4406.3946999999998</v>
      </c>
      <c r="C298" s="52">
        <v>268.73759999999999</v>
      </c>
      <c r="D298" s="52">
        <v>134.36879999999999</v>
      </c>
      <c r="E298" s="52">
        <v>134.36879999999999</v>
      </c>
      <c r="F298" s="52">
        <v>537.47519999999997</v>
      </c>
      <c r="G298" s="52">
        <v>268.73759999999999</v>
      </c>
      <c r="H298" s="52">
        <v>268.73759999999999</v>
      </c>
      <c r="I298" s="52">
        <v>537.47519999999997</v>
      </c>
      <c r="J298" s="52">
        <v>376.08229999999998</v>
      </c>
      <c r="K298" s="52">
        <v>1128.2470000000001</v>
      </c>
      <c r="L298" s="52">
        <v>376.08229999999998</v>
      </c>
      <c r="M298" s="52">
        <v>376.08229999999998</v>
      </c>
      <c r="N298" s="5" t="s">
        <v>69</v>
      </c>
    </row>
    <row r="299" spans="1:14" x14ac:dyDescent="0.25">
      <c r="A299" s="51">
        <v>1.0880000000000001</v>
      </c>
      <c r="B299" s="52">
        <v>4408.3725000000004</v>
      </c>
      <c r="C299" s="52">
        <v>268.98480000000001</v>
      </c>
      <c r="D299" s="52">
        <v>134.4924</v>
      </c>
      <c r="E299" s="52">
        <v>134.4924</v>
      </c>
      <c r="F299" s="52">
        <v>537.96960000000001</v>
      </c>
      <c r="G299" s="52">
        <v>268.98480000000001</v>
      </c>
      <c r="H299" s="52">
        <v>268.98480000000001</v>
      </c>
      <c r="I299" s="52">
        <v>537.96960000000001</v>
      </c>
      <c r="J299" s="52">
        <v>376.08229999999998</v>
      </c>
      <c r="K299" s="52">
        <v>1128.2470000000001</v>
      </c>
      <c r="L299" s="52">
        <v>376.08229999999998</v>
      </c>
      <c r="M299" s="52">
        <v>376.08229999999998</v>
      </c>
      <c r="N299" s="5" t="s">
        <v>69</v>
      </c>
    </row>
    <row r="300" spans="1:14" x14ac:dyDescent="0.25">
      <c r="A300" s="51">
        <v>1.089</v>
      </c>
      <c r="B300" s="52">
        <v>4410.3504000000003</v>
      </c>
      <c r="C300" s="52">
        <v>269.23200000000003</v>
      </c>
      <c r="D300" s="52">
        <v>134.61600000000001</v>
      </c>
      <c r="E300" s="52">
        <v>134.61600000000001</v>
      </c>
      <c r="F300" s="52">
        <v>538.46410000000003</v>
      </c>
      <c r="G300" s="52">
        <v>269.23200000000003</v>
      </c>
      <c r="H300" s="52">
        <v>269.23200000000003</v>
      </c>
      <c r="I300" s="52">
        <v>538.46410000000003</v>
      </c>
      <c r="J300" s="52">
        <v>376.08229999999998</v>
      </c>
      <c r="K300" s="52">
        <v>1128.2470000000001</v>
      </c>
      <c r="L300" s="52">
        <v>376.08229999999998</v>
      </c>
      <c r="M300" s="52">
        <v>376.08229999999998</v>
      </c>
      <c r="N300" s="5" t="s">
        <v>69</v>
      </c>
    </row>
    <row r="301" spans="1:14" x14ac:dyDescent="0.25">
      <c r="A301" s="51">
        <v>1.0900000000000001</v>
      </c>
      <c r="B301" s="52">
        <v>4412.3281999999999</v>
      </c>
      <c r="C301" s="52">
        <v>269.47930000000002</v>
      </c>
      <c r="D301" s="52">
        <v>134.7396</v>
      </c>
      <c r="E301" s="52">
        <v>134.7396</v>
      </c>
      <c r="F301" s="52">
        <v>538.95860000000005</v>
      </c>
      <c r="G301" s="52">
        <v>269.47930000000002</v>
      </c>
      <c r="H301" s="52">
        <v>269.47930000000002</v>
      </c>
      <c r="I301" s="52">
        <v>538.95860000000005</v>
      </c>
      <c r="J301" s="52">
        <v>376.08229999999998</v>
      </c>
      <c r="K301" s="52">
        <v>1128.2470000000001</v>
      </c>
      <c r="L301" s="52">
        <v>376.08229999999998</v>
      </c>
      <c r="M301" s="52">
        <v>376.08229999999998</v>
      </c>
      <c r="N301" s="5" t="s">
        <v>69</v>
      </c>
    </row>
    <row r="302" spans="1:14" x14ac:dyDescent="0.25">
      <c r="A302" s="51">
        <v>1.091</v>
      </c>
      <c r="B302" s="52">
        <v>4414.3059999999996</v>
      </c>
      <c r="C302" s="52">
        <v>269.72649999999999</v>
      </c>
      <c r="D302" s="52">
        <v>134.86330000000001</v>
      </c>
      <c r="E302" s="52">
        <v>134.86330000000001</v>
      </c>
      <c r="F302" s="52">
        <v>539.45299999999997</v>
      </c>
      <c r="G302" s="52">
        <v>269.72649999999999</v>
      </c>
      <c r="H302" s="52">
        <v>269.72649999999999</v>
      </c>
      <c r="I302" s="52">
        <v>539.45299999999997</v>
      </c>
      <c r="J302" s="52">
        <v>376.08229999999998</v>
      </c>
      <c r="K302" s="52">
        <v>1128.2470000000001</v>
      </c>
      <c r="L302" s="52">
        <v>376.08229999999998</v>
      </c>
      <c r="M302" s="52">
        <v>376.08229999999998</v>
      </c>
      <c r="N302" s="5" t="s">
        <v>69</v>
      </c>
    </row>
    <row r="303" spans="1:14" x14ac:dyDescent="0.25">
      <c r="A303" s="51">
        <v>1.0920000000000001</v>
      </c>
      <c r="B303" s="52">
        <v>4416.2839000000004</v>
      </c>
      <c r="C303" s="52">
        <v>269.97370000000001</v>
      </c>
      <c r="D303" s="52">
        <v>134.98689999999999</v>
      </c>
      <c r="E303" s="52">
        <v>134.98689999999999</v>
      </c>
      <c r="F303" s="52">
        <v>539.94749999999999</v>
      </c>
      <c r="G303" s="52">
        <v>269.97370000000001</v>
      </c>
      <c r="H303" s="52">
        <v>269.97370000000001</v>
      </c>
      <c r="I303" s="52">
        <v>539.94749999999999</v>
      </c>
      <c r="J303" s="52">
        <v>376.08229999999998</v>
      </c>
      <c r="K303" s="52">
        <v>1128.2470000000001</v>
      </c>
      <c r="L303" s="52">
        <v>376.08229999999998</v>
      </c>
      <c r="M303" s="52">
        <v>376.08229999999998</v>
      </c>
      <c r="N303" s="5" t="s">
        <v>69</v>
      </c>
    </row>
    <row r="304" spans="1:14" x14ac:dyDescent="0.25">
      <c r="A304" s="51">
        <v>1.093</v>
      </c>
      <c r="B304" s="52">
        <v>4418.2617</v>
      </c>
      <c r="C304" s="52">
        <v>270.221</v>
      </c>
      <c r="D304" s="52">
        <v>135.1105</v>
      </c>
      <c r="E304" s="52">
        <v>135.1105</v>
      </c>
      <c r="F304" s="52">
        <v>540.44190000000003</v>
      </c>
      <c r="G304" s="52">
        <v>270.221</v>
      </c>
      <c r="H304" s="52">
        <v>270.221</v>
      </c>
      <c r="I304" s="52">
        <v>540.44190000000003</v>
      </c>
      <c r="J304" s="52">
        <v>376.08229999999998</v>
      </c>
      <c r="K304" s="52">
        <v>1128.2470000000001</v>
      </c>
      <c r="L304" s="52">
        <v>376.08229999999998</v>
      </c>
      <c r="M304" s="52">
        <v>376.08229999999998</v>
      </c>
      <c r="N304" s="5" t="s">
        <v>69</v>
      </c>
    </row>
    <row r="305" spans="1:14" x14ac:dyDescent="0.25">
      <c r="A305" s="51">
        <v>1.0940000000000001</v>
      </c>
      <c r="B305" s="52">
        <v>4420.2394999999997</v>
      </c>
      <c r="C305" s="52">
        <v>270.46820000000002</v>
      </c>
      <c r="D305" s="52">
        <v>135.23410000000001</v>
      </c>
      <c r="E305" s="52">
        <v>135.23410000000001</v>
      </c>
      <c r="F305" s="52">
        <v>540.93640000000005</v>
      </c>
      <c r="G305" s="52">
        <v>270.46820000000002</v>
      </c>
      <c r="H305" s="52">
        <v>270.46820000000002</v>
      </c>
      <c r="I305" s="52">
        <v>540.93640000000005</v>
      </c>
      <c r="J305" s="52">
        <v>376.08229999999998</v>
      </c>
      <c r="K305" s="52">
        <v>1128.2470000000001</v>
      </c>
      <c r="L305" s="52">
        <v>376.08229999999998</v>
      </c>
      <c r="M305" s="52">
        <v>376.08229999999998</v>
      </c>
      <c r="N305" s="5" t="s">
        <v>69</v>
      </c>
    </row>
    <row r="306" spans="1:14" x14ac:dyDescent="0.25">
      <c r="A306" s="51">
        <v>1.095</v>
      </c>
      <c r="B306" s="52">
        <v>4422.2173000000003</v>
      </c>
      <c r="C306" s="52">
        <v>270.71539999999999</v>
      </c>
      <c r="D306" s="52">
        <v>135.35769999999999</v>
      </c>
      <c r="E306" s="52">
        <v>135.35769999999999</v>
      </c>
      <c r="F306" s="52">
        <v>541.43079999999998</v>
      </c>
      <c r="G306" s="52">
        <v>270.71539999999999</v>
      </c>
      <c r="H306" s="52">
        <v>270.71539999999999</v>
      </c>
      <c r="I306" s="52">
        <v>541.43079999999998</v>
      </c>
      <c r="J306" s="52">
        <v>376.08229999999998</v>
      </c>
      <c r="K306" s="52">
        <v>1128.2470000000001</v>
      </c>
      <c r="L306" s="52">
        <v>376.08229999999998</v>
      </c>
      <c r="M306" s="52">
        <v>376.08229999999998</v>
      </c>
      <c r="N306" s="5" t="s">
        <v>69</v>
      </c>
    </row>
    <row r="307" spans="1:14" x14ac:dyDescent="0.25">
      <c r="A307" s="51">
        <v>1.0960000000000001</v>
      </c>
      <c r="B307" s="52">
        <v>4424.1952000000001</v>
      </c>
      <c r="C307" s="52">
        <v>270.96260000000001</v>
      </c>
      <c r="D307" s="52">
        <v>135.4813</v>
      </c>
      <c r="E307" s="52">
        <v>135.4813</v>
      </c>
      <c r="F307" s="52">
        <v>541.92529999999999</v>
      </c>
      <c r="G307" s="52">
        <v>270.96260000000001</v>
      </c>
      <c r="H307" s="52">
        <v>270.96260000000001</v>
      </c>
      <c r="I307" s="52">
        <v>541.92529999999999</v>
      </c>
      <c r="J307" s="52">
        <v>376.08229999999998</v>
      </c>
      <c r="K307" s="52">
        <v>1128.2470000000001</v>
      </c>
      <c r="L307" s="52">
        <v>376.08229999999998</v>
      </c>
      <c r="M307" s="52">
        <v>376.08229999999998</v>
      </c>
      <c r="N307" s="5" t="s">
        <v>69</v>
      </c>
    </row>
    <row r="308" spans="1:14" x14ac:dyDescent="0.25">
      <c r="A308" s="51">
        <v>1.097</v>
      </c>
      <c r="B308" s="52">
        <v>4426.1729999999998</v>
      </c>
      <c r="C308" s="52">
        <v>271.2099</v>
      </c>
      <c r="D308" s="52">
        <v>135.60489999999999</v>
      </c>
      <c r="E308" s="52">
        <v>135.60489999999999</v>
      </c>
      <c r="F308" s="52">
        <v>542.41980000000001</v>
      </c>
      <c r="G308" s="52">
        <v>271.2099</v>
      </c>
      <c r="H308" s="52">
        <v>271.2099</v>
      </c>
      <c r="I308" s="52">
        <v>542.41980000000001</v>
      </c>
      <c r="J308" s="52">
        <v>376.08229999999998</v>
      </c>
      <c r="K308" s="52">
        <v>1128.2470000000001</v>
      </c>
      <c r="L308" s="52">
        <v>376.08229999999998</v>
      </c>
      <c r="M308" s="52">
        <v>376.08229999999998</v>
      </c>
      <c r="N308" s="5" t="s">
        <v>69</v>
      </c>
    </row>
    <row r="309" spans="1:14" x14ac:dyDescent="0.25">
      <c r="A309" s="51">
        <v>1.0980000000000001</v>
      </c>
      <c r="B309" s="52">
        <v>4428.1508000000003</v>
      </c>
      <c r="C309" s="52">
        <v>271.45710000000003</v>
      </c>
      <c r="D309" s="52">
        <v>135.7286</v>
      </c>
      <c r="E309" s="52">
        <v>135.7286</v>
      </c>
      <c r="F309" s="52">
        <v>542.91420000000005</v>
      </c>
      <c r="G309" s="52">
        <v>271.45710000000003</v>
      </c>
      <c r="H309" s="52">
        <v>271.45710000000003</v>
      </c>
      <c r="I309" s="52">
        <v>542.91420000000005</v>
      </c>
      <c r="J309" s="52">
        <v>376.08229999999998</v>
      </c>
      <c r="K309" s="52">
        <v>1128.2470000000001</v>
      </c>
      <c r="L309" s="52">
        <v>376.08229999999998</v>
      </c>
      <c r="M309" s="52">
        <v>376.08229999999998</v>
      </c>
      <c r="N309" s="5" t="s">
        <v>69</v>
      </c>
    </row>
    <row r="310" spans="1:14" x14ac:dyDescent="0.25">
      <c r="A310" s="51">
        <v>1.099</v>
      </c>
      <c r="B310" s="52">
        <v>4430.1287000000002</v>
      </c>
      <c r="C310" s="52">
        <v>271.70429999999999</v>
      </c>
      <c r="D310" s="52">
        <v>135.85220000000001</v>
      </c>
      <c r="E310" s="52">
        <v>135.85220000000001</v>
      </c>
      <c r="F310" s="52">
        <v>543.40869999999995</v>
      </c>
      <c r="G310" s="52">
        <v>271.70429999999999</v>
      </c>
      <c r="H310" s="52">
        <v>271.70429999999999</v>
      </c>
      <c r="I310" s="52">
        <v>543.40869999999995</v>
      </c>
      <c r="J310" s="52">
        <v>376.08229999999998</v>
      </c>
      <c r="K310" s="52">
        <v>1128.2470000000001</v>
      </c>
      <c r="L310" s="52">
        <v>376.08229999999998</v>
      </c>
      <c r="M310" s="52">
        <v>376.08229999999998</v>
      </c>
      <c r="N310" s="5" t="s">
        <v>69</v>
      </c>
    </row>
    <row r="311" spans="1:14" x14ac:dyDescent="0.25">
      <c r="A311" s="51">
        <v>1.1000000000000001</v>
      </c>
      <c r="B311" s="52">
        <v>5084.7902000000004</v>
      </c>
      <c r="C311" s="52">
        <v>353.53699999999998</v>
      </c>
      <c r="D311" s="52">
        <v>176.76849999999999</v>
      </c>
      <c r="E311" s="52">
        <v>176.76849999999999</v>
      </c>
      <c r="F311" s="52">
        <v>707.07410000000004</v>
      </c>
      <c r="G311" s="52">
        <v>353.53699999999998</v>
      </c>
      <c r="H311" s="52">
        <v>353.53699999999998</v>
      </c>
      <c r="I311" s="52">
        <v>707.07410000000004</v>
      </c>
      <c r="J311" s="52">
        <v>376.08229999999998</v>
      </c>
      <c r="K311" s="52">
        <v>1128.2470000000001</v>
      </c>
      <c r="L311" s="52">
        <v>376.08229999999998</v>
      </c>
      <c r="M311" s="52">
        <v>376.08229999999998</v>
      </c>
      <c r="N311" s="5" t="s">
        <v>69</v>
      </c>
    </row>
    <row r="312" spans="1:14" x14ac:dyDescent="0.25">
      <c r="A312" s="51">
        <v>1.101</v>
      </c>
      <c r="B312" s="52">
        <v>5087.3613999999998</v>
      </c>
      <c r="C312" s="52">
        <v>353.85840000000002</v>
      </c>
      <c r="D312" s="52">
        <v>176.92920000000001</v>
      </c>
      <c r="E312" s="52">
        <v>176.92920000000001</v>
      </c>
      <c r="F312" s="52">
        <v>707.71690000000001</v>
      </c>
      <c r="G312" s="52">
        <v>353.85840000000002</v>
      </c>
      <c r="H312" s="52">
        <v>353.85840000000002</v>
      </c>
      <c r="I312" s="52">
        <v>707.71690000000001</v>
      </c>
      <c r="J312" s="52">
        <v>376.08229999999998</v>
      </c>
      <c r="K312" s="52">
        <v>1128.2470000000001</v>
      </c>
      <c r="L312" s="52">
        <v>376.08229999999998</v>
      </c>
      <c r="M312" s="52">
        <v>376.08229999999998</v>
      </c>
      <c r="N312" s="5" t="s">
        <v>69</v>
      </c>
    </row>
    <row r="313" spans="1:14" x14ac:dyDescent="0.25">
      <c r="A313" s="51">
        <v>1.1020000000000001</v>
      </c>
      <c r="B313" s="52">
        <v>5089.9326000000001</v>
      </c>
      <c r="C313" s="52">
        <v>354.1798</v>
      </c>
      <c r="D313" s="52">
        <v>177.0899</v>
      </c>
      <c r="E313" s="52">
        <v>177.0899</v>
      </c>
      <c r="F313" s="52">
        <v>708.35969999999998</v>
      </c>
      <c r="G313" s="52">
        <v>354.1798</v>
      </c>
      <c r="H313" s="52">
        <v>354.1798</v>
      </c>
      <c r="I313" s="52">
        <v>708.35969999999998</v>
      </c>
      <c r="J313" s="52">
        <v>376.08229999999998</v>
      </c>
      <c r="K313" s="52">
        <v>1128.2470000000001</v>
      </c>
      <c r="L313" s="52">
        <v>376.08229999999998</v>
      </c>
      <c r="M313" s="52">
        <v>376.08229999999998</v>
      </c>
      <c r="N313" s="5" t="s">
        <v>69</v>
      </c>
    </row>
    <row r="314" spans="1:14" x14ac:dyDescent="0.25">
      <c r="A314" s="51">
        <v>1.103</v>
      </c>
      <c r="B314" s="52">
        <v>5092.5038000000004</v>
      </c>
      <c r="C314" s="52">
        <v>354.50119999999998</v>
      </c>
      <c r="D314" s="52">
        <v>177.25059999999999</v>
      </c>
      <c r="E314" s="52">
        <v>177.25059999999999</v>
      </c>
      <c r="F314" s="52">
        <v>709.00239999999997</v>
      </c>
      <c r="G314" s="52">
        <v>354.50119999999998</v>
      </c>
      <c r="H314" s="52">
        <v>354.50119999999998</v>
      </c>
      <c r="I314" s="52">
        <v>709.00239999999997</v>
      </c>
      <c r="J314" s="52">
        <v>376.08229999999998</v>
      </c>
      <c r="K314" s="52">
        <v>1128.2470000000001</v>
      </c>
      <c r="L314" s="52">
        <v>376.08229999999998</v>
      </c>
      <c r="M314" s="52">
        <v>376.08229999999998</v>
      </c>
      <c r="N314" s="5" t="s">
        <v>69</v>
      </c>
    </row>
    <row r="315" spans="1:14" x14ac:dyDescent="0.25">
      <c r="A315" s="51">
        <v>1.1040000000000001</v>
      </c>
      <c r="B315" s="52">
        <v>5095.0749999999998</v>
      </c>
      <c r="C315" s="52">
        <v>354.82260000000002</v>
      </c>
      <c r="D315" s="52">
        <v>177.41130000000001</v>
      </c>
      <c r="E315" s="52">
        <v>177.41130000000001</v>
      </c>
      <c r="F315" s="52">
        <v>709.64520000000005</v>
      </c>
      <c r="G315" s="52">
        <v>354.82260000000002</v>
      </c>
      <c r="H315" s="52">
        <v>354.82260000000002</v>
      </c>
      <c r="I315" s="52">
        <v>709.64520000000005</v>
      </c>
      <c r="J315" s="52">
        <v>376.08229999999998</v>
      </c>
      <c r="K315" s="52">
        <v>1128.2470000000001</v>
      </c>
      <c r="L315" s="52">
        <v>376.08229999999998</v>
      </c>
      <c r="M315" s="52">
        <v>376.08229999999998</v>
      </c>
      <c r="N315" s="5" t="s">
        <v>69</v>
      </c>
    </row>
    <row r="316" spans="1:14" x14ac:dyDescent="0.25">
      <c r="A316" s="51">
        <v>1.105</v>
      </c>
      <c r="B316" s="52">
        <v>5097.6460999999999</v>
      </c>
      <c r="C316" s="52">
        <v>355.14400000000001</v>
      </c>
      <c r="D316" s="52">
        <v>177.572</v>
      </c>
      <c r="E316" s="52">
        <v>177.572</v>
      </c>
      <c r="F316" s="52">
        <v>710.28800000000001</v>
      </c>
      <c r="G316" s="52">
        <v>355.14400000000001</v>
      </c>
      <c r="H316" s="52">
        <v>355.14400000000001</v>
      </c>
      <c r="I316" s="52">
        <v>710.28800000000001</v>
      </c>
      <c r="J316" s="52">
        <v>376.08229999999998</v>
      </c>
      <c r="K316" s="52">
        <v>1128.2470000000001</v>
      </c>
      <c r="L316" s="52">
        <v>376.08229999999998</v>
      </c>
      <c r="M316" s="52">
        <v>376.08229999999998</v>
      </c>
      <c r="N316" s="5" t="s">
        <v>69</v>
      </c>
    </row>
    <row r="317" spans="1:14" x14ac:dyDescent="0.25">
      <c r="A317" s="51">
        <v>1.1060000000000001</v>
      </c>
      <c r="B317" s="52">
        <v>5100.2173000000003</v>
      </c>
      <c r="C317" s="52">
        <v>355.46539999999999</v>
      </c>
      <c r="D317" s="52">
        <v>177.73269999999999</v>
      </c>
      <c r="E317" s="52">
        <v>177.73269999999999</v>
      </c>
      <c r="F317" s="52">
        <v>710.93079999999998</v>
      </c>
      <c r="G317" s="52">
        <v>355.46539999999999</v>
      </c>
      <c r="H317" s="52">
        <v>355.46539999999999</v>
      </c>
      <c r="I317" s="52">
        <v>710.93079999999998</v>
      </c>
      <c r="J317" s="52">
        <v>376.08229999999998</v>
      </c>
      <c r="K317" s="52">
        <v>1128.2470000000001</v>
      </c>
      <c r="L317" s="52">
        <v>376.08229999999998</v>
      </c>
      <c r="M317" s="52">
        <v>376.08229999999998</v>
      </c>
      <c r="N317" s="5" t="s">
        <v>69</v>
      </c>
    </row>
    <row r="318" spans="1:14" x14ac:dyDescent="0.25">
      <c r="A318" s="51">
        <v>1.107</v>
      </c>
      <c r="B318" s="52">
        <v>5102.7884999999997</v>
      </c>
      <c r="C318" s="52">
        <v>355.78680000000003</v>
      </c>
      <c r="D318" s="52">
        <v>177.89340000000001</v>
      </c>
      <c r="E318" s="52">
        <v>177.89340000000001</v>
      </c>
      <c r="F318" s="52">
        <v>711.57360000000006</v>
      </c>
      <c r="G318" s="52">
        <v>355.78680000000003</v>
      </c>
      <c r="H318" s="52">
        <v>355.78680000000003</v>
      </c>
      <c r="I318" s="52">
        <v>711.57360000000006</v>
      </c>
      <c r="J318" s="52">
        <v>376.08229999999998</v>
      </c>
      <c r="K318" s="52">
        <v>1128.2470000000001</v>
      </c>
      <c r="L318" s="52">
        <v>376.08229999999998</v>
      </c>
      <c r="M318" s="52">
        <v>376.08229999999998</v>
      </c>
      <c r="N318" s="5" t="s">
        <v>69</v>
      </c>
    </row>
    <row r="319" spans="1:14" x14ac:dyDescent="0.25">
      <c r="A319" s="51">
        <v>1.1080000000000001</v>
      </c>
      <c r="B319" s="52">
        <v>5105.3597</v>
      </c>
      <c r="C319" s="52">
        <v>356.10820000000001</v>
      </c>
      <c r="D319" s="52">
        <v>178.05410000000001</v>
      </c>
      <c r="E319" s="52">
        <v>178.05410000000001</v>
      </c>
      <c r="F319" s="52">
        <v>712.21640000000002</v>
      </c>
      <c r="G319" s="52">
        <v>356.10820000000001</v>
      </c>
      <c r="H319" s="52">
        <v>356.10820000000001</v>
      </c>
      <c r="I319" s="52">
        <v>712.21640000000002</v>
      </c>
      <c r="J319" s="52">
        <v>376.08229999999998</v>
      </c>
      <c r="K319" s="52">
        <v>1128.2470000000001</v>
      </c>
      <c r="L319" s="52">
        <v>376.08229999999998</v>
      </c>
      <c r="M319" s="52">
        <v>376.08229999999998</v>
      </c>
      <c r="N319" s="5" t="s">
        <v>69</v>
      </c>
    </row>
    <row r="320" spans="1:14" x14ac:dyDescent="0.25">
      <c r="A320" s="51">
        <v>1.109</v>
      </c>
      <c r="B320" s="52">
        <v>5107.9309000000003</v>
      </c>
      <c r="C320" s="52">
        <v>356.42959999999999</v>
      </c>
      <c r="D320" s="52">
        <v>178.2148</v>
      </c>
      <c r="E320" s="52">
        <v>178.2148</v>
      </c>
      <c r="F320" s="52">
        <v>712.85919999999999</v>
      </c>
      <c r="G320" s="52">
        <v>356.42959999999999</v>
      </c>
      <c r="H320" s="52">
        <v>356.42959999999999</v>
      </c>
      <c r="I320" s="52">
        <v>712.85919999999999</v>
      </c>
      <c r="J320" s="52">
        <v>376.08229999999998</v>
      </c>
      <c r="K320" s="52">
        <v>1128.2470000000001</v>
      </c>
      <c r="L320" s="52">
        <v>376.08229999999998</v>
      </c>
      <c r="M320" s="52">
        <v>376.08229999999998</v>
      </c>
      <c r="N320" s="5" t="s">
        <v>69</v>
      </c>
    </row>
    <row r="321" spans="1:14" x14ac:dyDescent="0.25">
      <c r="A321" s="51">
        <v>1.1100000000000001</v>
      </c>
      <c r="B321" s="52">
        <v>6006.1334999999999</v>
      </c>
      <c r="C321" s="52">
        <v>468.70490000000001</v>
      </c>
      <c r="D321" s="52">
        <v>234.35249999999999</v>
      </c>
      <c r="E321" s="52">
        <v>234.35249999999999</v>
      </c>
      <c r="F321" s="52">
        <v>937.40989999999999</v>
      </c>
      <c r="G321" s="52">
        <v>468.70490000000001</v>
      </c>
      <c r="H321" s="52">
        <v>468.70490000000001</v>
      </c>
      <c r="I321" s="52">
        <v>937.40989999999999</v>
      </c>
      <c r="J321" s="52">
        <v>376.08229999999998</v>
      </c>
      <c r="K321" s="52">
        <v>1128.2470000000001</v>
      </c>
      <c r="L321" s="52">
        <v>376.08229999999998</v>
      </c>
      <c r="M321" s="52">
        <v>376.08229999999998</v>
      </c>
      <c r="N321" s="5" t="s">
        <v>69</v>
      </c>
    </row>
    <row r="322" spans="1:14" x14ac:dyDescent="0.25">
      <c r="A322" s="51">
        <v>1.111</v>
      </c>
      <c r="B322" s="52">
        <v>6009.5114999999996</v>
      </c>
      <c r="C322" s="52">
        <v>469.12720000000002</v>
      </c>
      <c r="D322" s="52">
        <v>234.56360000000001</v>
      </c>
      <c r="E322" s="52">
        <v>234.56360000000001</v>
      </c>
      <c r="F322" s="52">
        <v>938.25440000000003</v>
      </c>
      <c r="G322" s="52">
        <v>469.12720000000002</v>
      </c>
      <c r="H322" s="52">
        <v>469.12720000000002</v>
      </c>
      <c r="I322" s="52">
        <v>938.25440000000003</v>
      </c>
      <c r="J322" s="52">
        <v>376.08229999999998</v>
      </c>
      <c r="K322" s="52">
        <v>1128.2470000000001</v>
      </c>
      <c r="L322" s="52">
        <v>376.08229999999998</v>
      </c>
      <c r="M322" s="52">
        <v>376.08229999999998</v>
      </c>
      <c r="N322" s="5" t="s">
        <v>69</v>
      </c>
    </row>
    <row r="323" spans="1:14" x14ac:dyDescent="0.25">
      <c r="A323" s="51">
        <v>1.1120000000000001</v>
      </c>
      <c r="B323" s="52">
        <v>6012.8896000000004</v>
      </c>
      <c r="C323" s="52">
        <v>469.54939999999999</v>
      </c>
      <c r="D323" s="52">
        <v>234.7747</v>
      </c>
      <c r="E323" s="52">
        <v>234.7747</v>
      </c>
      <c r="F323" s="52">
        <v>939.09889999999996</v>
      </c>
      <c r="G323" s="52">
        <v>469.54939999999999</v>
      </c>
      <c r="H323" s="52">
        <v>469.54939999999999</v>
      </c>
      <c r="I323" s="52">
        <v>939.09889999999996</v>
      </c>
      <c r="J323" s="52">
        <v>376.08229999999998</v>
      </c>
      <c r="K323" s="52">
        <v>1128.2470000000001</v>
      </c>
      <c r="L323" s="52">
        <v>376.08229999999998</v>
      </c>
      <c r="M323" s="52">
        <v>376.08229999999998</v>
      </c>
      <c r="N323" s="5" t="s">
        <v>69</v>
      </c>
    </row>
    <row r="324" spans="1:14" x14ac:dyDescent="0.25">
      <c r="A324" s="51">
        <v>1.113</v>
      </c>
      <c r="B324" s="52">
        <v>6016.2676000000001</v>
      </c>
      <c r="C324" s="52">
        <v>469.9717</v>
      </c>
      <c r="D324" s="52">
        <v>234.98589999999999</v>
      </c>
      <c r="E324" s="52">
        <v>234.98589999999999</v>
      </c>
      <c r="F324" s="52">
        <v>939.9434</v>
      </c>
      <c r="G324" s="52">
        <v>469.9717</v>
      </c>
      <c r="H324" s="52">
        <v>469.9717</v>
      </c>
      <c r="I324" s="52">
        <v>939.9434</v>
      </c>
      <c r="J324" s="52">
        <v>376.08229999999998</v>
      </c>
      <c r="K324" s="52">
        <v>1128.2470000000001</v>
      </c>
      <c r="L324" s="52">
        <v>376.08229999999998</v>
      </c>
      <c r="M324" s="52">
        <v>376.08229999999998</v>
      </c>
      <c r="N324" s="5" t="s">
        <v>69</v>
      </c>
    </row>
    <row r="325" spans="1:14" x14ac:dyDescent="0.25">
      <c r="A325" s="51">
        <v>1.1140000000000001</v>
      </c>
      <c r="B325" s="52">
        <v>6019.6457</v>
      </c>
      <c r="C325" s="52">
        <v>470.39400000000001</v>
      </c>
      <c r="D325" s="52">
        <v>235.197</v>
      </c>
      <c r="E325" s="52">
        <v>235.197</v>
      </c>
      <c r="F325" s="52">
        <v>940.78790000000004</v>
      </c>
      <c r="G325" s="52">
        <v>470.39400000000001</v>
      </c>
      <c r="H325" s="52">
        <v>470.39400000000001</v>
      </c>
      <c r="I325" s="52">
        <v>940.78790000000004</v>
      </c>
      <c r="J325" s="52">
        <v>376.08229999999998</v>
      </c>
      <c r="K325" s="52">
        <v>1128.2470000000001</v>
      </c>
      <c r="L325" s="52">
        <v>376.08229999999998</v>
      </c>
      <c r="M325" s="52">
        <v>376.08229999999998</v>
      </c>
      <c r="N325" s="5" t="s">
        <v>69</v>
      </c>
    </row>
    <row r="326" spans="1:14" x14ac:dyDescent="0.25">
      <c r="A326" s="51">
        <v>1.115</v>
      </c>
      <c r="B326" s="52">
        <v>6023.0236999999997</v>
      </c>
      <c r="C326" s="52">
        <v>470.81619999999998</v>
      </c>
      <c r="D326" s="52">
        <v>235.40809999999999</v>
      </c>
      <c r="E326" s="52">
        <v>235.40809999999999</v>
      </c>
      <c r="F326" s="52">
        <v>941.63239999999996</v>
      </c>
      <c r="G326" s="52">
        <v>470.81619999999998</v>
      </c>
      <c r="H326" s="52">
        <v>470.81619999999998</v>
      </c>
      <c r="I326" s="52">
        <v>941.63239999999996</v>
      </c>
      <c r="J326" s="52">
        <v>376.08229999999998</v>
      </c>
      <c r="K326" s="52">
        <v>1128.2470000000001</v>
      </c>
      <c r="L326" s="52">
        <v>376.08229999999998</v>
      </c>
      <c r="M326" s="52">
        <v>376.08229999999998</v>
      </c>
      <c r="N326" s="5" t="s">
        <v>69</v>
      </c>
    </row>
    <row r="327" spans="1:14" x14ac:dyDescent="0.25">
      <c r="A327" s="51">
        <v>1.1160000000000001</v>
      </c>
      <c r="B327" s="52">
        <v>6026.4017999999996</v>
      </c>
      <c r="C327" s="52">
        <v>471.23849999999999</v>
      </c>
      <c r="D327" s="52">
        <v>235.61920000000001</v>
      </c>
      <c r="E327" s="52">
        <v>235.61920000000001</v>
      </c>
      <c r="F327" s="52">
        <v>942.4769</v>
      </c>
      <c r="G327" s="52">
        <v>471.23849999999999</v>
      </c>
      <c r="H327" s="52">
        <v>471.23849999999999</v>
      </c>
      <c r="I327" s="52">
        <v>942.4769</v>
      </c>
      <c r="J327" s="52">
        <v>376.08229999999998</v>
      </c>
      <c r="K327" s="52">
        <v>1128.2470000000001</v>
      </c>
      <c r="L327" s="52">
        <v>376.08229999999998</v>
      </c>
      <c r="M327" s="52">
        <v>376.08229999999998</v>
      </c>
      <c r="N327" s="5" t="s">
        <v>69</v>
      </c>
    </row>
    <row r="328" spans="1:14" x14ac:dyDescent="0.25">
      <c r="A328" s="51">
        <v>1.117</v>
      </c>
      <c r="B328" s="52">
        <v>6029.7798000000003</v>
      </c>
      <c r="C328" s="52">
        <v>471.66070000000002</v>
      </c>
      <c r="D328" s="52">
        <v>235.8304</v>
      </c>
      <c r="E328" s="52">
        <v>235.8304</v>
      </c>
      <c r="F328" s="52">
        <v>943.32150000000001</v>
      </c>
      <c r="G328" s="52">
        <v>471.66070000000002</v>
      </c>
      <c r="H328" s="52">
        <v>471.66070000000002</v>
      </c>
      <c r="I328" s="52">
        <v>943.32150000000001</v>
      </c>
      <c r="J328" s="52">
        <v>376.08229999999998</v>
      </c>
      <c r="K328" s="52">
        <v>1128.2470000000001</v>
      </c>
      <c r="L328" s="52">
        <v>376.08229999999998</v>
      </c>
      <c r="M328" s="52">
        <v>376.08229999999998</v>
      </c>
      <c r="N328" s="5" t="s">
        <v>69</v>
      </c>
    </row>
    <row r="329" spans="1:14" x14ac:dyDescent="0.25">
      <c r="A329" s="51">
        <v>1.1180000000000001</v>
      </c>
      <c r="B329" s="52">
        <v>6033.1579000000002</v>
      </c>
      <c r="C329" s="52">
        <v>472.08300000000003</v>
      </c>
      <c r="D329" s="52">
        <v>236.04150000000001</v>
      </c>
      <c r="E329" s="52">
        <v>236.04150000000001</v>
      </c>
      <c r="F329" s="52">
        <v>944.16600000000005</v>
      </c>
      <c r="G329" s="52">
        <v>472.08300000000003</v>
      </c>
      <c r="H329" s="52">
        <v>472.08300000000003</v>
      </c>
      <c r="I329" s="52">
        <v>944.16600000000005</v>
      </c>
      <c r="J329" s="52">
        <v>376.08229999999998</v>
      </c>
      <c r="K329" s="52">
        <v>1128.2470000000001</v>
      </c>
      <c r="L329" s="52">
        <v>376.08229999999998</v>
      </c>
      <c r="M329" s="52">
        <v>376.08229999999998</v>
      </c>
      <c r="N329" s="5" t="s">
        <v>69</v>
      </c>
    </row>
    <row r="330" spans="1:14" x14ac:dyDescent="0.25">
      <c r="A330" s="51">
        <v>1.119</v>
      </c>
      <c r="B330" s="52">
        <v>6036.5358999999999</v>
      </c>
      <c r="C330" s="52">
        <v>472.5052</v>
      </c>
      <c r="D330" s="52">
        <v>236.2526</v>
      </c>
      <c r="E330" s="52">
        <v>236.2526</v>
      </c>
      <c r="F330" s="52">
        <v>945.01049999999998</v>
      </c>
      <c r="G330" s="52">
        <v>472.5052</v>
      </c>
      <c r="H330" s="52">
        <v>472.5052</v>
      </c>
      <c r="I330" s="52">
        <v>945.01049999999998</v>
      </c>
      <c r="J330" s="52">
        <v>376.08229999999998</v>
      </c>
      <c r="K330" s="52">
        <v>1128.2470000000001</v>
      </c>
      <c r="L330" s="52">
        <v>376.08229999999998</v>
      </c>
      <c r="M330" s="52">
        <v>376.08229999999998</v>
      </c>
      <c r="N330" s="5" t="s">
        <v>69</v>
      </c>
    </row>
    <row r="331" spans="1:14" x14ac:dyDescent="0.25">
      <c r="A331" s="51">
        <v>1.1200000000000001</v>
      </c>
      <c r="B331" s="52">
        <v>6039.9139999999998</v>
      </c>
      <c r="C331" s="52">
        <v>472.92750000000001</v>
      </c>
      <c r="D331" s="52">
        <v>236.46379999999999</v>
      </c>
      <c r="E331" s="52">
        <v>236.46379999999999</v>
      </c>
      <c r="F331" s="52">
        <v>945.85500000000002</v>
      </c>
      <c r="G331" s="52">
        <v>472.92750000000001</v>
      </c>
      <c r="H331" s="52">
        <v>472.92750000000001</v>
      </c>
      <c r="I331" s="52">
        <v>945.85500000000002</v>
      </c>
      <c r="J331" s="52">
        <v>376.08229999999998</v>
      </c>
      <c r="K331" s="52">
        <v>1128.2470000000001</v>
      </c>
      <c r="L331" s="52">
        <v>376.08229999999998</v>
      </c>
      <c r="M331" s="52">
        <v>376.08229999999998</v>
      </c>
      <c r="N331" s="5" t="s">
        <v>69</v>
      </c>
    </row>
    <row r="332" spans="1:14" x14ac:dyDescent="0.25">
      <c r="A332" s="51">
        <v>1.121</v>
      </c>
      <c r="B332" s="52">
        <v>6043.2920999999997</v>
      </c>
      <c r="C332" s="52">
        <v>473.34980000000002</v>
      </c>
      <c r="D332" s="52">
        <v>236.67490000000001</v>
      </c>
      <c r="E332" s="52">
        <v>236.67490000000001</v>
      </c>
      <c r="F332" s="52">
        <v>946.69949999999994</v>
      </c>
      <c r="G332" s="52">
        <v>473.34980000000002</v>
      </c>
      <c r="H332" s="52">
        <v>473.34980000000002</v>
      </c>
      <c r="I332" s="52">
        <v>946.69949999999994</v>
      </c>
      <c r="J332" s="52">
        <v>376.08229999999998</v>
      </c>
      <c r="K332" s="52">
        <v>1128.2470000000001</v>
      </c>
      <c r="L332" s="52">
        <v>376.08229999999998</v>
      </c>
      <c r="M332" s="52">
        <v>376.08229999999998</v>
      </c>
      <c r="N332" s="5" t="s">
        <v>69</v>
      </c>
    </row>
    <row r="333" spans="1:14" x14ac:dyDescent="0.25">
      <c r="A333" s="51">
        <v>1.1220000000000001</v>
      </c>
      <c r="B333" s="52">
        <v>6046.6701000000003</v>
      </c>
      <c r="C333" s="52">
        <v>473.77199999999999</v>
      </c>
      <c r="D333" s="52">
        <v>236.886</v>
      </c>
      <c r="E333" s="52">
        <v>236.886</v>
      </c>
      <c r="F333" s="52">
        <v>947.54399999999998</v>
      </c>
      <c r="G333" s="52">
        <v>473.77199999999999</v>
      </c>
      <c r="H333" s="52">
        <v>473.77199999999999</v>
      </c>
      <c r="I333" s="52">
        <v>947.54399999999998</v>
      </c>
      <c r="J333" s="52">
        <v>376.08229999999998</v>
      </c>
      <c r="K333" s="52">
        <v>1128.2470000000001</v>
      </c>
      <c r="L333" s="52">
        <v>376.08229999999998</v>
      </c>
      <c r="M333" s="52">
        <v>376.08229999999998</v>
      </c>
      <c r="N333" s="5" t="s">
        <v>69</v>
      </c>
    </row>
    <row r="334" spans="1:14" x14ac:dyDescent="0.25">
      <c r="A334" s="51">
        <v>1.123</v>
      </c>
      <c r="B334" s="52">
        <v>6050.0482000000002</v>
      </c>
      <c r="C334" s="52">
        <v>474.1943</v>
      </c>
      <c r="D334" s="52">
        <v>237.09710000000001</v>
      </c>
      <c r="E334" s="52">
        <v>237.09710000000001</v>
      </c>
      <c r="F334" s="52">
        <v>948.38850000000002</v>
      </c>
      <c r="G334" s="52">
        <v>474.1943</v>
      </c>
      <c r="H334" s="52">
        <v>474.1943</v>
      </c>
      <c r="I334" s="52">
        <v>948.38850000000002</v>
      </c>
      <c r="J334" s="52">
        <v>376.08229999999998</v>
      </c>
      <c r="K334" s="52">
        <v>1128.2470000000001</v>
      </c>
      <c r="L334" s="52">
        <v>376.08229999999998</v>
      </c>
      <c r="M334" s="52">
        <v>376.08229999999998</v>
      </c>
      <c r="N334" s="5" t="s">
        <v>69</v>
      </c>
    </row>
    <row r="335" spans="1:14" x14ac:dyDescent="0.25">
      <c r="A335" s="51">
        <v>1.1240000000000001</v>
      </c>
      <c r="B335" s="52">
        <v>6053.4261999999999</v>
      </c>
      <c r="C335" s="52">
        <v>474.61649999999997</v>
      </c>
      <c r="D335" s="52">
        <v>237.3083</v>
      </c>
      <c r="E335" s="52">
        <v>237.3083</v>
      </c>
      <c r="F335" s="52">
        <v>949.23310000000004</v>
      </c>
      <c r="G335" s="52">
        <v>474.61649999999997</v>
      </c>
      <c r="H335" s="52">
        <v>474.61649999999997</v>
      </c>
      <c r="I335" s="52">
        <v>949.23310000000004</v>
      </c>
      <c r="J335" s="52">
        <v>376.08229999999998</v>
      </c>
      <c r="K335" s="52">
        <v>1128.2470000000001</v>
      </c>
      <c r="L335" s="52">
        <v>376.08229999999998</v>
      </c>
      <c r="M335" s="52">
        <v>376.08229999999998</v>
      </c>
      <c r="N335" s="5" t="s">
        <v>69</v>
      </c>
    </row>
    <row r="336" spans="1:14" x14ac:dyDescent="0.25">
      <c r="A336" s="51">
        <v>1.125</v>
      </c>
      <c r="B336" s="52">
        <v>6056.8042999999998</v>
      </c>
      <c r="C336" s="52">
        <v>475.03879999999998</v>
      </c>
      <c r="D336" s="52">
        <v>237.51939999999999</v>
      </c>
      <c r="E336" s="52">
        <v>237.51939999999999</v>
      </c>
      <c r="F336" s="52">
        <v>950.07759999999996</v>
      </c>
      <c r="G336" s="52">
        <v>475.03879999999998</v>
      </c>
      <c r="H336" s="52">
        <v>475.03879999999998</v>
      </c>
      <c r="I336" s="52">
        <v>950.07759999999996</v>
      </c>
      <c r="J336" s="52">
        <v>376.08229999999998</v>
      </c>
      <c r="K336" s="52">
        <v>1128.2470000000001</v>
      </c>
      <c r="L336" s="52">
        <v>376.08229999999998</v>
      </c>
      <c r="M336" s="52">
        <v>376.08229999999998</v>
      </c>
      <c r="N336" s="5" t="s">
        <v>69</v>
      </c>
    </row>
    <row r="337" spans="1:14" x14ac:dyDescent="0.25">
      <c r="A337" s="51">
        <v>1.1259999999999999</v>
      </c>
      <c r="B337" s="52">
        <v>6060.1823000000004</v>
      </c>
      <c r="C337" s="52">
        <v>475.46100000000001</v>
      </c>
      <c r="D337" s="52">
        <v>237.73050000000001</v>
      </c>
      <c r="E337" s="52">
        <v>237.73050000000001</v>
      </c>
      <c r="F337" s="52">
        <v>950.9221</v>
      </c>
      <c r="G337" s="52">
        <v>475.46100000000001</v>
      </c>
      <c r="H337" s="52">
        <v>475.46100000000001</v>
      </c>
      <c r="I337" s="52">
        <v>950.9221</v>
      </c>
      <c r="J337" s="52">
        <v>376.08229999999998</v>
      </c>
      <c r="K337" s="52">
        <v>1128.2470000000001</v>
      </c>
      <c r="L337" s="52">
        <v>376.08229999999998</v>
      </c>
      <c r="M337" s="52">
        <v>376.08229999999998</v>
      </c>
      <c r="N337" s="5" t="s">
        <v>69</v>
      </c>
    </row>
    <row r="338" spans="1:14" x14ac:dyDescent="0.25">
      <c r="A338" s="51">
        <v>1.127</v>
      </c>
      <c r="B338" s="52">
        <v>6063.5604000000003</v>
      </c>
      <c r="C338" s="52">
        <v>475.88330000000002</v>
      </c>
      <c r="D338" s="52">
        <v>237.94159999999999</v>
      </c>
      <c r="E338" s="52">
        <v>237.94159999999999</v>
      </c>
      <c r="F338" s="52">
        <v>951.76660000000004</v>
      </c>
      <c r="G338" s="52">
        <v>475.88330000000002</v>
      </c>
      <c r="H338" s="52">
        <v>475.88330000000002</v>
      </c>
      <c r="I338" s="52">
        <v>951.76660000000004</v>
      </c>
      <c r="J338" s="52">
        <v>376.08229999999998</v>
      </c>
      <c r="K338" s="52">
        <v>1128.2470000000001</v>
      </c>
      <c r="L338" s="52">
        <v>376.08229999999998</v>
      </c>
      <c r="M338" s="52">
        <v>376.08229999999998</v>
      </c>
      <c r="N338" s="5" t="s">
        <v>69</v>
      </c>
    </row>
    <row r="339" spans="1:14" x14ac:dyDescent="0.25">
      <c r="A339" s="51">
        <v>1.1279999999999999</v>
      </c>
      <c r="B339" s="52">
        <v>6066.9384</v>
      </c>
      <c r="C339" s="52">
        <v>476.30560000000003</v>
      </c>
      <c r="D339" s="52">
        <v>238.15280000000001</v>
      </c>
      <c r="E339" s="52">
        <v>238.15280000000001</v>
      </c>
      <c r="F339" s="52">
        <v>952.61109999999996</v>
      </c>
      <c r="G339" s="52">
        <v>476.30560000000003</v>
      </c>
      <c r="H339" s="52">
        <v>476.30560000000003</v>
      </c>
      <c r="I339" s="52">
        <v>952.61109999999996</v>
      </c>
      <c r="J339" s="52">
        <v>376.08229999999998</v>
      </c>
      <c r="K339" s="52">
        <v>1128.2470000000001</v>
      </c>
      <c r="L339" s="52">
        <v>376.08229999999998</v>
      </c>
      <c r="M339" s="52">
        <v>376.08229999999998</v>
      </c>
      <c r="N339" s="5" t="s">
        <v>69</v>
      </c>
    </row>
    <row r="340" spans="1:14" x14ac:dyDescent="0.25">
      <c r="A340" s="51">
        <v>1.129</v>
      </c>
      <c r="B340" s="52">
        <v>6070.3164999999999</v>
      </c>
      <c r="C340" s="52">
        <v>476.7278</v>
      </c>
      <c r="D340" s="52">
        <v>238.3639</v>
      </c>
      <c r="E340" s="52">
        <v>238.3639</v>
      </c>
      <c r="F340" s="52">
        <v>953.4556</v>
      </c>
      <c r="G340" s="52">
        <v>476.7278</v>
      </c>
      <c r="H340" s="52">
        <v>476.7278</v>
      </c>
      <c r="I340" s="52">
        <v>953.4556</v>
      </c>
      <c r="J340" s="52">
        <v>376.08229999999998</v>
      </c>
      <c r="K340" s="52">
        <v>1128.2470000000001</v>
      </c>
      <c r="L340" s="52">
        <v>376.08229999999998</v>
      </c>
      <c r="M340" s="52">
        <v>376.08229999999998</v>
      </c>
      <c r="N340" s="5" t="s">
        <v>69</v>
      </c>
    </row>
    <row r="341" spans="1:14" x14ac:dyDescent="0.25">
      <c r="A341" s="51">
        <v>1.1299999999999999</v>
      </c>
      <c r="B341" s="52">
        <v>6073.6944999999996</v>
      </c>
      <c r="C341" s="52">
        <v>477.15010000000001</v>
      </c>
      <c r="D341" s="52">
        <v>238.57499999999999</v>
      </c>
      <c r="E341" s="52">
        <v>238.57499999999999</v>
      </c>
      <c r="F341" s="52">
        <v>954.30010000000004</v>
      </c>
      <c r="G341" s="52">
        <v>477.15010000000001</v>
      </c>
      <c r="H341" s="52">
        <v>477.15010000000001</v>
      </c>
      <c r="I341" s="52">
        <v>954.30010000000004</v>
      </c>
      <c r="J341" s="52">
        <v>376.08229999999998</v>
      </c>
      <c r="K341" s="52">
        <v>1128.2470000000001</v>
      </c>
      <c r="L341" s="52">
        <v>376.08229999999998</v>
      </c>
      <c r="M341" s="52">
        <v>376.08229999999998</v>
      </c>
      <c r="N341" s="5" t="s">
        <v>69</v>
      </c>
    </row>
    <row r="342" spans="1:14" x14ac:dyDescent="0.25">
      <c r="A342" s="51">
        <v>1.131</v>
      </c>
      <c r="B342" s="52">
        <v>6077.0726000000004</v>
      </c>
      <c r="C342" s="52">
        <v>477.57229999999998</v>
      </c>
      <c r="D342" s="52">
        <v>238.78620000000001</v>
      </c>
      <c r="E342" s="52">
        <v>238.78620000000001</v>
      </c>
      <c r="F342" s="52">
        <v>955.14459999999997</v>
      </c>
      <c r="G342" s="52">
        <v>477.57229999999998</v>
      </c>
      <c r="H342" s="52">
        <v>477.57229999999998</v>
      </c>
      <c r="I342" s="52">
        <v>955.14459999999997</v>
      </c>
      <c r="J342" s="52">
        <v>376.08229999999998</v>
      </c>
      <c r="K342" s="52">
        <v>1128.2470000000001</v>
      </c>
      <c r="L342" s="52">
        <v>376.08229999999998</v>
      </c>
      <c r="M342" s="52">
        <v>376.08229999999998</v>
      </c>
      <c r="N342" s="5" t="s">
        <v>69</v>
      </c>
    </row>
    <row r="343" spans="1:14" x14ac:dyDescent="0.25">
      <c r="A343" s="51">
        <v>1.1319999999999999</v>
      </c>
      <c r="B343" s="52">
        <v>6080.4506000000001</v>
      </c>
      <c r="C343" s="52">
        <v>477.99459999999999</v>
      </c>
      <c r="D343" s="52">
        <v>238.9973</v>
      </c>
      <c r="E343" s="52">
        <v>238.9973</v>
      </c>
      <c r="F343" s="52">
        <v>955.98919999999998</v>
      </c>
      <c r="G343" s="52">
        <v>477.99459999999999</v>
      </c>
      <c r="H343" s="52">
        <v>477.99459999999999</v>
      </c>
      <c r="I343" s="52">
        <v>955.98919999999998</v>
      </c>
      <c r="J343" s="52">
        <v>376.08229999999998</v>
      </c>
      <c r="K343" s="52">
        <v>1128.2470000000001</v>
      </c>
      <c r="L343" s="52">
        <v>376.08229999999998</v>
      </c>
      <c r="M343" s="52">
        <v>376.08229999999998</v>
      </c>
      <c r="N343" s="5" t="s">
        <v>69</v>
      </c>
    </row>
    <row r="344" spans="1:14" x14ac:dyDescent="0.25">
      <c r="A344" s="51">
        <v>1.133</v>
      </c>
      <c r="B344" s="52">
        <v>6083.8287</v>
      </c>
      <c r="C344" s="52">
        <v>478.41680000000002</v>
      </c>
      <c r="D344" s="52">
        <v>239.20840000000001</v>
      </c>
      <c r="E344" s="52">
        <v>239.20840000000001</v>
      </c>
      <c r="F344" s="52">
        <v>956.83370000000002</v>
      </c>
      <c r="G344" s="52">
        <v>478.41680000000002</v>
      </c>
      <c r="H344" s="52">
        <v>478.41680000000002</v>
      </c>
      <c r="I344" s="52">
        <v>956.83370000000002</v>
      </c>
      <c r="J344" s="52">
        <v>376.08229999999998</v>
      </c>
      <c r="K344" s="52">
        <v>1128.2470000000001</v>
      </c>
      <c r="L344" s="52">
        <v>376.08229999999998</v>
      </c>
      <c r="M344" s="52">
        <v>376.08229999999998</v>
      </c>
      <c r="N344" s="5" t="s">
        <v>69</v>
      </c>
    </row>
    <row r="345" spans="1:14" x14ac:dyDescent="0.25">
      <c r="A345" s="51">
        <v>1.1339999999999999</v>
      </c>
      <c r="B345" s="52">
        <v>6087.2066999999997</v>
      </c>
      <c r="C345" s="52">
        <v>478.83909999999997</v>
      </c>
      <c r="D345" s="52">
        <v>239.4195</v>
      </c>
      <c r="E345" s="52">
        <v>239.4195</v>
      </c>
      <c r="F345" s="52">
        <v>957.67819999999995</v>
      </c>
      <c r="G345" s="52">
        <v>478.83909999999997</v>
      </c>
      <c r="H345" s="52">
        <v>478.83909999999997</v>
      </c>
      <c r="I345" s="52">
        <v>957.67819999999995</v>
      </c>
      <c r="J345" s="52">
        <v>376.08229999999998</v>
      </c>
      <c r="K345" s="52">
        <v>1128.2470000000001</v>
      </c>
      <c r="L345" s="52">
        <v>376.08229999999998</v>
      </c>
      <c r="M345" s="52">
        <v>376.08229999999998</v>
      </c>
      <c r="N345" s="5" t="s">
        <v>69</v>
      </c>
    </row>
    <row r="346" spans="1:14" x14ac:dyDescent="0.25">
      <c r="A346" s="51">
        <v>1.135</v>
      </c>
      <c r="B346" s="52">
        <v>6090.5847999999996</v>
      </c>
      <c r="C346" s="52">
        <v>479.26139999999998</v>
      </c>
      <c r="D346" s="52">
        <v>239.63069999999999</v>
      </c>
      <c r="E346" s="52">
        <v>239.63069999999999</v>
      </c>
      <c r="F346" s="52">
        <v>958.52269999999999</v>
      </c>
      <c r="G346" s="52">
        <v>479.26139999999998</v>
      </c>
      <c r="H346" s="52">
        <v>479.26139999999998</v>
      </c>
      <c r="I346" s="52">
        <v>958.52269999999999</v>
      </c>
      <c r="J346" s="52">
        <v>376.08229999999998</v>
      </c>
      <c r="K346" s="52">
        <v>1128.2470000000001</v>
      </c>
      <c r="L346" s="52">
        <v>376.08229999999998</v>
      </c>
      <c r="M346" s="52">
        <v>376.08229999999998</v>
      </c>
      <c r="N346" s="5" t="s">
        <v>69</v>
      </c>
    </row>
    <row r="347" spans="1:14" x14ac:dyDescent="0.25">
      <c r="A347" s="51">
        <v>1.1359999999999999</v>
      </c>
      <c r="B347" s="52">
        <v>6093.9629000000004</v>
      </c>
      <c r="C347" s="52">
        <v>479.68360000000001</v>
      </c>
      <c r="D347" s="52">
        <v>239.84180000000001</v>
      </c>
      <c r="E347" s="52">
        <v>239.84180000000001</v>
      </c>
      <c r="F347" s="52">
        <v>959.36720000000003</v>
      </c>
      <c r="G347" s="52">
        <v>479.68360000000001</v>
      </c>
      <c r="H347" s="52">
        <v>479.68360000000001</v>
      </c>
      <c r="I347" s="52">
        <v>959.36720000000003</v>
      </c>
      <c r="J347" s="52">
        <v>376.08229999999998</v>
      </c>
      <c r="K347" s="52">
        <v>1128.2470000000001</v>
      </c>
      <c r="L347" s="52">
        <v>376.08229999999998</v>
      </c>
      <c r="M347" s="52">
        <v>376.08229999999998</v>
      </c>
      <c r="N347" s="5" t="s">
        <v>69</v>
      </c>
    </row>
    <row r="348" spans="1:14" x14ac:dyDescent="0.25">
      <c r="A348" s="51">
        <v>1.137</v>
      </c>
      <c r="B348" s="52">
        <v>6097.3409000000001</v>
      </c>
      <c r="C348" s="52">
        <v>480.10590000000002</v>
      </c>
      <c r="D348" s="52">
        <v>240.05289999999999</v>
      </c>
      <c r="E348" s="52">
        <v>240.05289999999999</v>
      </c>
      <c r="F348" s="52">
        <v>960.21169999999995</v>
      </c>
      <c r="G348" s="52">
        <v>480.10590000000002</v>
      </c>
      <c r="H348" s="52">
        <v>480.10590000000002</v>
      </c>
      <c r="I348" s="52">
        <v>960.21169999999995</v>
      </c>
      <c r="J348" s="52">
        <v>376.08229999999998</v>
      </c>
      <c r="K348" s="52">
        <v>1128.2470000000001</v>
      </c>
      <c r="L348" s="52">
        <v>376.08229999999998</v>
      </c>
      <c r="M348" s="52">
        <v>376.08229999999998</v>
      </c>
      <c r="N348" s="5" t="s">
        <v>69</v>
      </c>
    </row>
    <row r="349" spans="1:14" x14ac:dyDescent="0.25">
      <c r="A349" s="51">
        <v>1.1379999999999999</v>
      </c>
      <c r="B349" s="52">
        <v>6100.7190000000001</v>
      </c>
      <c r="C349" s="52">
        <v>480.52809999999999</v>
      </c>
      <c r="D349" s="52">
        <v>240.26410000000001</v>
      </c>
      <c r="E349" s="52">
        <v>240.26410000000001</v>
      </c>
      <c r="F349" s="52">
        <v>961.05619999999999</v>
      </c>
      <c r="G349" s="52">
        <v>480.52809999999999</v>
      </c>
      <c r="H349" s="52">
        <v>480.52809999999999</v>
      </c>
      <c r="I349" s="52">
        <v>961.05619999999999</v>
      </c>
      <c r="J349" s="52">
        <v>376.08229999999998</v>
      </c>
      <c r="K349" s="52">
        <v>1128.2470000000001</v>
      </c>
      <c r="L349" s="52">
        <v>376.08229999999998</v>
      </c>
      <c r="M349" s="52">
        <v>376.08229999999998</v>
      </c>
      <c r="N349" s="5" t="s">
        <v>69</v>
      </c>
    </row>
    <row r="350" spans="1:14" x14ac:dyDescent="0.25">
      <c r="A350" s="51">
        <v>1.139</v>
      </c>
      <c r="B350" s="52">
        <v>6104.0969999999998</v>
      </c>
      <c r="C350" s="52">
        <v>480.9504</v>
      </c>
      <c r="D350" s="52">
        <v>240.4752</v>
      </c>
      <c r="E350" s="52">
        <v>240.4752</v>
      </c>
      <c r="F350" s="52">
        <v>961.9008</v>
      </c>
      <c r="G350" s="52">
        <v>480.9504</v>
      </c>
      <c r="H350" s="52">
        <v>480.9504</v>
      </c>
      <c r="I350" s="52">
        <v>961.9008</v>
      </c>
      <c r="J350" s="52">
        <v>376.08229999999998</v>
      </c>
      <c r="K350" s="52">
        <v>1128.2470000000001</v>
      </c>
      <c r="L350" s="52">
        <v>376.08229999999998</v>
      </c>
      <c r="M350" s="52">
        <v>376.08229999999998</v>
      </c>
      <c r="N350" s="5" t="s">
        <v>69</v>
      </c>
    </row>
    <row r="351" spans="1:14" x14ac:dyDescent="0.25">
      <c r="A351" s="51">
        <v>1.1399999999999999</v>
      </c>
      <c r="B351" s="52">
        <v>6107.4750999999997</v>
      </c>
      <c r="C351" s="52">
        <v>481.37259999999998</v>
      </c>
      <c r="D351" s="52">
        <v>240.68629999999999</v>
      </c>
      <c r="E351" s="52">
        <v>240.68629999999999</v>
      </c>
      <c r="F351" s="52">
        <v>962.74530000000004</v>
      </c>
      <c r="G351" s="52">
        <v>481.37259999999998</v>
      </c>
      <c r="H351" s="52">
        <v>481.37259999999998</v>
      </c>
      <c r="I351" s="52">
        <v>962.74530000000004</v>
      </c>
      <c r="J351" s="52">
        <v>376.08229999999998</v>
      </c>
      <c r="K351" s="52">
        <v>1128.2470000000001</v>
      </c>
      <c r="L351" s="52">
        <v>376.08229999999998</v>
      </c>
      <c r="M351" s="52">
        <v>376.08229999999998</v>
      </c>
      <c r="N351" s="5" t="s">
        <v>69</v>
      </c>
    </row>
    <row r="352" spans="1:14" x14ac:dyDescent="0.25">
      <c r="A352" s="51">
        <v>1.141</v>
      </c>
      <c r="B352" s="52">
        <v>6110.8531000000003</v>
      </c>
      <c r="C352" s="52">
        <v>481.79489999999998</v>
      </c>
      <c r="D352" s="52">
        <v>240.8974</v>
      </c>
      <c r="E352" s="52">
        <v>240.8974</v>
      </c>
      <c r="F352" s="52">
        <v>963.58979999999997</v>
      </c>
      <c r="G352" s="52">
        <v>481.79489999999998</v>
      </c>
      <c r="H352" s="52">
        <v>481.79489999999998</v>
      </c>
      <c r="I352" s="52">
        <v>963.58979999999997</v>
      </c>
      <c r="J352" s="52">
        <v>376.08229999999998</v>
      </c>
      <c r="K352" s="52">
        <v>1128.2470000000001</v>
      </c>
      <c r="L352" s="52">
        <v>376.08229999999998</v>
      </c>
      <c r="M352" s="52">
        <v>376.08229999999998</v>
      </c>
      <c r="N352" s="5" t="s">
        <v>69</v>
      </c>
    </row>
    <row r="353" spans="1:14" x14ac:dyDescent="0.25">
      <c r="A353" s="51">
        <v>1.1419999999999999</v>
      </c>
      <c r="B353" s="52">
        <v>6114.2312000000002</v>
      </c>
      <c r="C353" s="52">
        <v>482.21710000000002</v>
      </c>
      <c r="D353" s="52">
        <v>241.1086</v>
      </c>
      <c r="E353" s="52">
        <v>241.1086</v>
      </c>
      <c r="F353" s="52">
        <v>964.43430000000001</v>
      </c>
      <c r="G353" s="52">
        <v>482.21710000000002</v>
      </c>
      <c r="H353" s="52">
        <v>482.21710000000002</v>
      </c>
      <c r="I353" s="52">
        <v>964.43430000000001</v>
      </c>
      <c r="J353" s="52">
        <v>376.08229999999998</v>
      </c>
      <c r="K353" s="52">
        <v>1128.2470000000001</v>
      </c>
      <c r="L353" s="52">
        <v>376.08229999999998</v>
      </c>
      <c r="M353" s="52">
        <v>376.08229999999998</v>
      </c>
      <c r="N353" s="5" t="s">
        <v>69</v>
      </c>
    </row>
    <row r="354" spans="1:14" x14ac:dyDescent="0.25">
      <c r="A354" s="51">
        <v>1.143</v>
      </c>
      <c r="B354" s="52">
        <v>6117.6091999999999</v>
      </c>
      <c r="C354" s="52">
        <v>482.63940000000002</v>
      </c>
      <c r="D354" s="52">
        <v>241.31970000000001</v>
      </c>
      <c r="E354" s="52">
        <v>241.31970000000001</v>
      </c>
      <c r="F354" s="52">
        <v>965.27880000000005</v>
      </c>
      <c r="G354" s="52">
        <v>482.63940000000002</v>
      </c>
      <c r="H354" s="52">
        <v>482.63940000000002</v>
      </c>
      <c r="I354" s="52">
        <v>965.27880000000005</v>
      </c>
      <c r="J354" s="52">
        <v>376.08229999999998</v>
      </c>
      <c r="K354" s="52">
        <v>1128.2470000000001</v>
      </c>
      <c r="L354" s="52">
        <v>376.08229999999998</v>
      </c>
      <c r="M354" s="52">
        <v>376.08229999999998</v>
      </c>
      <c r="N354" s="5" t="s">
        <v>69</v>
      </c>
    </row>
    <row r="355" spans="1:14" x14ac:dyDescent="0.25">
      <c r="A355" s="51">
        <v>1.1439999999999999</v>
      </c>
      <c r="B355" s="52">
        <v>6120.9872999999998</v>
      </c>
      <c r="C355" s="52">
        <v>483.06169999999997</v>
      </c>
      <c r="D355" s="52">
        <v>241.5308</v>
      </c>
      <c r="E355" s="52">
        <v>241.5308</v>
      </c>
      <c r="F355" s="52">
        <v>966.12329999999997</v>
      </c>
      <c r="G355" s="52">
        <v>483.06169999999997</v>
      </c>
      <c r="H355" s="52">
        <v>483.06169999999997</v>
      </c>
      <c r="I355" s="52">
        <v>966.12329999999997</v>
      </c>
      <c r="J355" s="52">
        <v>376.08229999999998</v>
      </c>
      <c r="K355" s="52">
        <v>1128.2470000000001</v>
      </c>
      <c r="L355" s="52">
        <v>376.08229999999998</v>
      </c>
      <c r="M355" s="52">
        <v>376.08229999999998</v>
      </c>
      <c r="N355" s="5" t="s">
        <v>69</v>
      </c>
    </row>
    <row r="356" spans="1:14" x14ac:dyDescent="0.25">
      <c r="A356" s="51">
        <v>1.145</v>
      </c>
      <c r="B356" s="52">
        <v>6124.3653000000004</v>
      </c>
      <c r="C356" s="52">
        <v>483.48390000000001</v>
      </c>
      <c r="D356" s="52">
        <v>241.74199999999999</v>
      </c>
      <c r="E356" s="52">
        <v>241.74199999999999</v>
      </c>
      <c r="F356" s="52">
        <v>966.96780000000001</v>
      </c>
      <c r="G356" s="52">
        <v>483.48390000000001</v>
      </c>
      <c r="H356" s="52">
        <v>483.48390000000001</v>
      </c>
      <c r="I356" s="52">
        <v>966.96780000000001</v>
      </c>
      <c r="J356" s="52">
        <v>376.08229999999998</v>
      </c>
      <c r="K356" s="52">
        <v>1128.2470000000001</v>
      </c>
      <c r="L356" s="52">
        <v>376.08229999999998</v>
      </c>
      <c r="M356" s="52">
        <v>376.08229999999998</v>
      </c>
      <c r="N356" s="5" t="s">
        <v>69</v>
      </c>
    </row>
    <row r="357" spans="1:14" x14ac:dyDescent="0.25">
      <c r="A357" s="51">
        <v>1.1459999999999999</v>
      </c>
      <c r="B357" s="52">
        <v>6127.7434000000003</v>
      </c>
      <c r="C357" s="52">
        <v>483.90620000000001</v>
      </c>
      <c r="D357" s="52">
        <v>241.95310000000001</v>
      </c>
      <c r="E357" s="52">
        <v>241.95310000000001</v>
      </c>
      <c r="F357" s="52">
        <v>967.81230000000005</v>
      </c>
      <c r="G357" s="52">
        <v>483.90620000000001</v>
      </c>
      <c r="H357" s="52">
        <v>483.90620000000001</v>
      </c>
      <c r="I357" s="52">
        <v>967.81230000000005</v>
      </c>
      <c r="J357" s="52">
        <v>376.08229999999998</v>
      </c>
      <c r="K357" s="52">
        <v>1128.2470000000001</v>
      </c>
      <c r="L357" s="52">
        <v>376.08229999999998</v>
      </c>
      <c r="M357" s="52">
        <v>376.08229999999998</v>
      </c>
      <c r="N357" s="5" t="s">
        <v>69</v>
      </c>
    </row>
    <row r="358" spans="1:14" x14ac:dyDescent="0.25">
      <c r="A358" s="51">
        <v>1.147</v>
      </c>
      <c r="B358" s="52">
        <v>6131.1214</v>
      </c>
      <c r="C358" s="52">
        <v>484.32839999999999</v>
      </c>
      <c r="D358" s="52">
        <v>242.16419999999999</v>
      </c>
      <c r="E358" s="52">
        <v>242.16419999999999</v>
      </c>
      <c r="F358" s="52">
        <v>968.65689999999995</v>
      </c>
      <c r="G358" s="52">
        <v>484.32839999999999</v>
      </c>
      <c r="H358" s="52">
        <v>484.32839999999999</v>
      </c>
      <c r="I358" s="52">
        <v>968.65689999999995</v>
      </c>
      <c r="J358" s="52">
        <v>376.08229999999998</v>
      </c>
      <c r="K358" s="52">
        <v>1128.2470000000001</v>
      </c>
      <c r="L358" s="52">
        <v>376.08229999999998</v>
      </c>
      <c r="M358" s="52">
        <v>376.08229999999998</v>
      </c>
      <c r="N358" s="5" t="s">
        <v>69</v>
      </c>
    </row>
    <row r="359" spans="1:14" x14ac:dyDescent="0.25">
      <c r="A359" s="51">
        <v>1.1479999999999999</v>
      </c>
      <c r="B359" s="52">
        <v>6134.4994999999999</v>
      </c>
      <c r="C359" s="52">
        <v>484.75069999999999</v>
      </c>
      <c r="D359" s="52">
        <v>242.37530000000001</v>
      </c>
      <c r="E359" s="52">
        <v>242.37530000000001</v>
      </c>
      <c r="F359" s="52">
        <v>969.50139999999999</v>
      </c>
      <c r="G359" s="52">
        <v>484.75069999999999</v>
      </c>
      <c r="H359" s="52">
        <v>484.75069999999999</v>
      </c>
      <c r="I359" s="52">
        <v>969.50139999999999</v>
      </c>
      <c r="J359" s="52">
        <v>376.08229999999998</v>
      </c>
      <c r="K359" s="52">
        <v>1128.2470000000001</v>
      </c>
      <c r="L359" s="52">
        <v>376.08229999999998</v>
      </c>
      <c r="M359" s="52">
        <v>376.08229999999998</v>
      </c>
      <c r="N359" s="5" t="s">
        <v>69</v>
      </c>
    </row>
    <row r="360" spans="1:14" x14ac:dyDescent="0.25">
      <c r="A360" s="51">
        <v>1.149</v>
      </c>
      <c r="B360" s="52">
        <v>6137.8775999999998</v>
      </c>
      <c r="C360" s="52">
        <v>485.17290000000003</v>
      </c>
      <c r="D360" s="52">
        <v>242.5865</v>
      </c>
      <c r="E360" s="52">
        <v>242.5865</v>
      </c>
      <c r="F360" s="52">
        <v>970.34590000000003</v>
      </c>
      <c r="G360" s="52">
        <v>485.17290000000003</v>
      </c>
      <c r="H360" s="52">
        <v>485.17290000000003</v>
      </c>
      <c r="I360" s="52">
        <v>970.34590000000003</v>
      </c>
      <c r="J360" s="52">
        <v>376.08229999999998</v>
      </c>
      <c r="K360" s="52">
        <v>1128.2470000000001</v>
      </c>
      <c r="L360" s="52">
        <v>376.08229999999998</v>
      </c>
      <c r="M360" s="52">
        <v>376.08229999999998</v>
      </c>
      <c r="N360" s="5" t="s">
        <v>69</v>
      </c>
    </row>
    <row r="361" spans="1:14" x14ac:dyDescent="0.25">
      <c r="A361" s="51">
        <v>1.1499999999999999</v>
      </c>
      <c r="B361" s="52">
        <v>6141.2556000000004</v>
      </c>
      <c r="C361" s="52">
        <v>485.59519999999998</v>
      </c>
      <c r="D361" s="52">
        <v>242.79759999999999</v>
      </c>
      <c r="E361" s="52">
        <v>242.79759999999999</v>
      </c>
      <c r="F361" s="52">
        <v>971.19039999999995</v>
      </c>
      <c r="G361" s="52">
        <v>485.59519999999998</v>
      </c>
      <c r="H361" s="52">
        <v>485.59519999999998</v>
      </c>
      <c r="I361" s="52">
        <v>971.19039999999995</v>
      </c>
      <c r="J361" s="52">
        <v>376.08229999999998</v>
      </c>
      <c r="K361" s="52">
        <v>1128.2470000000001</v>
      </c>
      <c r="L361" s="52">
        <v>376.08229999999998</v>
      </c>
      <c r="M361" s="52">
        <v>376.08229999999998</v>
      </c>
      <c r="N361" s="5" t="s">
        <v>69</v>
      </c>
    </row>
    <row r="362" spans="1:14" x14ac:dyDescent="0.25">
      <c r="A362" s="51">
        <v>1.151</v>
      </c>
      <c r="B362" s="52">
        <v>6144.6337000000003</v>
      </c>
      <c r="C362" s="52">
        <v>486.01749999999998</v>
      </c>
      <c r="D362" s="52">
        <v>243.0087</v>
      </c>
      <c r="E362" s="52">
        <v>243.0087</v>
      </c>
      <c r="F362" s="52">
        <v>972.03489999999999</v>
      </c>
      <c r="G362" s="52">
        <v>486.01749999999998</v>
      </c>
      <c r="H362" s="52">
        <v>486.01749999999998</v>
      </c>
      <c r="I362" s="52">
        <v>972.03489999999999</v>
      </c>
      <c r="J362" s="52">
        <v>376.08229999999998</v>
      </c>
      <c r="K362" s="52">
        <v>1128.2470000000001</v>
      </c>
      <c r="L362" s="52">
        <v>376.08229999999998</v>
      </c>
      <c r="M362" s="52">
        <v>376.08229999999998</v>
      </c>
      <c r="N362" s="5" t="s">
        <v>69</v>
      </c>
    </row>
    <row r="363" spans="1:14" x14ac:dyDescent="0.25">
      <c r="A363" s="51">
        <v>1.1519999999999999</v>
      </c>
      <c r="B363" s="52">
        <v>6148.0117</v>
      </c>
      <c r="C363" s="52">
        <v>486.43970000000002</v>
      </c>
      <c r="D363" s="52">
        <v>243.2199</v>
      </c>
      <c r="E363" s="52">
        <v>243.2199</v>
      </c>
      <c r="F363" s="52">
        <v>972.87940000000003</v>
      </c>
      <c r="G363" s="52">
        <v>486.43970000000002</v>
      </c>
      <c r="H363" s="52">
        <v>486.43970000000002</v>
      </c>
      <c r="I363" s="52">
        <v>972.87940000000003</v>
      </c>
      <c r="J363" s="52">
        <v>376.08229999999998</v>
      </c>
      <c r="K363" s="52">
        <v>1128.2470000000001</v>
      </c>
      <c r="L363" s="52">
        <v>376.08229999999998</v>
      </c>
      <c r="M363" s="52">
        <v>376.08229999999998</v>
      </c>
      <c r="N363" s="5" t="s">
        <v>69</v>
      </c>
    </row>
    <row r="364" spans="1:14" x14ac:dyDescent="0.25">
      <c r="A364" s="51">
        <v>1.153</v>
      </c>
      <c r="B364" s="52">
        <v>6151.3897999999999</v>
      </c>
      <c r="C364" s="52">
        <v>486.86200000000002</v>
      </c>
      <c r="D364" s="52">
        <v>243.43100000000001</v>
      </c>
      <c r="E364" s="52">
        <v>243.43100000000001</v>
      </c>
      <c r="F364" s="52">
        <v>973.72389999999996</v>
      </c>
      <c r="G364" s="52">
        <v>486.86200000000002</v>
      </c>
      <c r="H364" s="52">
        <v>486.86200000000002</v>
      </c>
      <c r="I364" s="52">
        <v>973.72389999999996</v>
      </c>
      <c r="J364" s="52">
        <v>376.08229999999998</v>
      </c>
      <c r="K364" s="52">
        <v>1128.2470000000001</v>
      </c>
      <c r="L364" s="52">
        <v>376.08229999999998</v>
      </c>
      <c r="M364" s="52">
        <v>376.08229999999998</v>
      </c>
      <c r="N364" s="5" t="s">
        <v>69</v>
      </c>
    </row>
    <row r="365" spans="1:14" x14ac:dyDescent="0.25">
      <c r="A365" s="51">
        <v>1.1539999999999999</v>
      </c>
      <c r="B365" s="52">
        <v>6154.7677999999996</v>
      </c>
      <c r="C365" s="52">
        <v>487.2842</v>
      </c>
      <c r="D365" s="52">
        <v>243.6421</v>
      </c>
      <c r="E365" s="52">
        <v>243.6421</v>
      </c>
      <c r="F365" s="52">
        <v>974.56849999999997</v>
      </c>
      <c r="G365" s="52">
        <v>487.2842</v>
      </c>
      <c r="H365" s="52">
        <v>487.2842</v>
      </c>
      <c r="I365" s="52">
        <v>974.56849999999997</v>
      </c>
      <c r="J365" s="52">
        <v>376.08229999999998</v>
      </c>
      <c r="K365" s="52">
        <v>1128.2470000000001</v>
      </c>
      <c r="L365" s="52">
        <v>376.08229999999998</v>
      </c>
      <c r="M365" s="52">
        <v>376.08229999999998</v>
      </c>
      <c r="N365" s="5" t="s">
        <v>69</v>
      </c>
    </row>
    <row r="366" spans="1:14" x14ac:dyDescent="0.25">
      <c r="A366" s="51">
        <v>1.155</v>
      </c>
      <c r="B366" s="52">
        <v>6158.1459000000004</v>
      </c>
      <c r="C366" s="52">
        <v>487.70650000000001</v>
      </c>
      <c r="D366" s="52">
        <v>243.85319999999999</v>
      </c>
      <c r="E366" s="52">
        <v>243.85319999999999</v>
      </c>
      <c r="F366" s="52">
        <v>975.41300000000001</v>
      </c>
      <c r="G366" s="52">
        <v>487.70650000000001</v>
      </c>
      <c r="H366" s="52">
        <v>487.70650000000001</v>
      </c>
      <c r="I366" s="52">
        <v>975.41300000000001</v>
      </c>
      <c r="J366" s="52">
        <v>376.08229999999998</v>
      </c>
      <c r="K366" s="52">
        <v>1128.2470000000001</v>
      </c>
      <c r="L366" s="52">
        <v>376.08229999999998</v>
      </c>
      <c r="M366" s="52">
        <v>376.08229999999998</v>
      </c>
      <c r="N366" s="5" t="s">
        <v>69</v>
      </c>
    </row>
    <row r="367" spans="1:14" x14ac:dyDescent="0.25">
      <c r="A367" s="51">
        <v>1.1559999999999999</v>
      </c>
      <c r="B367" s="52">
        <v>6161.5239000000001</v>
      </c>
      <c r="C367" s="52">
        <v>488.12869999999998</v>
      </c>
      <c r="D367" s="52">
        <v>244.06440000000001</v>
      </c>
      <c r="E367" s="52">
        <v>244.06440000000001</v>
      </c>
      <c r="F367" s="52">
        <v>976.25750000000005</v>
      </c>
      <c r="G367" s="52">
        <v>488.12869999999998</v>
      </c>
      <c r="H367" s="52">
        <v>488.12869999999998</v>
      </c>
      <c r="I367" s="52">
        <v>976.25750000000005</v>
      </c>
      <c r="J367" s="52">
        <v>376.08229999999998</v>
      </c>
      <c r="K367" s="52">
        <v>1128.2470000000001</v>
      </c>
      <c r="L367" s="52">
        <v>376.08229999999998</v>
      </c>
      <c r="M367" s="52">
        <v>376.08229999999998</v>
      </c>
      <c r="N367" s="5" t="s">
        <v>69</v>
      </c>
    </row>
    <row r="368" spans="1:14" x14ac:dyDescent="0.25">
      <c r="A368" s="51">
        <v>1.157</v>
      </c>
      <c r="B368" s="52">
        <v>6164.902</v>
      </c>
      <c r="C368" s="52">
        <v>488.55099999999999</v>
      </c>
      <c r="D368" s="52">
        <v>244.27549999999999</v>
      </c>
      <c r="E368" s="52">
        <v>244.27549999999999</v>
      </c>
      <c r="F368" s="52">
        <v>977.10199999999998</v>
      </c>
      <c r="G368" s="52">
        <v>488.55099999999999</v>
      </c>
      <c r="H368" s="52">
        <v>488.55099999999999</v>
      </c>
      <c r="I368" s="52">
        <v>977.10199999999998</v>
      </c>
      <c r="J368" s="52">
        <v>376.08229999999998</v>
      </c>
      <c r="K368" s="52">
        <v>1128.2470000000001</v>
      </c>
      <c r="L368" s="52">
        <v>376.08229999999998</v>
      </c>
      <c r="M368" s="52">
        <v>376.08229999999998</v>
      </c>
      <c r="N368" s="5" t="s">
        <v>69</v>
      </c>
    </row>
    <row r="369" spans="1:14" x14ac:dyDescent="0.25">
      <c r="A369" s="51">
        <v>1.1579999999999999</v>
      </c>
      <c r="B369" s="52">
        <v>6168.28</v>
      </c>
      <c r="C369" s="52">
        <v>488.97329999999999</v>
      </c>
      <c r="D369" s="52">
        <v>244.48660000000001</v>
      </c>
      <c r="E369" s="52">
        <v>244.48660000000001</v>
      </c>
      <c r="F369" s="52">
        <v>977.94650000000001</v>
      </c>
      <c r="G369" s="52">
        <v>488.97329999999999</v>
      </c>
      <c r="H369" s="52">
        <v>488.97329999999999</v>
      </c>
      <c r="I369" s="52">
        <v>977.94650000000001</v>
      </c>
      <c r="J369" s="52">
        <v>376.08229999999998</v>
      </c>
      <c r="K369" s="52">
        <v>1128.2470000000001</v>
      </c>
      <c r="L369" s="52">
        <v>376.08229999999998</v>
      </c>
      <c r="M369" s="52">
        <v>376.08229999999998</v>
      </c>
      <c r="N369" s="5" t="s">
        <v>69</v>
      </c>
    </row>
    <row r="370" spans="1:14" x14ac:dyDescent="0.25">
      <c r="A370" s="51">
        <v>1.159</v>
      </c>
      <c r="B370" s="52">
        <v>6171.6580999999996</v>
      </c>
      <c r="C370" s="52">
        <v>489.39550000000003</v>
      </c>
      <c r="D370" s="52">
        <v>244.6978</v>
      </c>
      <c r="E370" s="52">
        <v>244.6978</v>
      </c>
      <c r="F370" s="52">
        <v>978.79100000000005</v>
      </c>
      <c r="G370" s="52">
        <v>489.39550000000003</v>
      </c>
      <c r="H370" s="52">
        <v>489.39550000000003</v>
      </c>
      <c r="I370" s="52">
        <v>978.79100000000005</v>
      </c>
      <c r="J370" s="52">
        <v>376.08229999999998</v>
      </c>
      <c r="K370" s="52">
        <v>1128.2470000000001</v>
      </c>
      <c r="L370" s="52">
        <v>376.08229999999998</v>
      </c>
      <c r="M370" s="52">
        <v>376.08229999999998</v>
      </c>
      <c r="N370" s="5" t="s">
        <v>69</v>
      </c>
    </row>
    <row r="371" spans="1:14" x14ac:dyDescent="0.25">
      <c r="A371" s="51">
        <v>1.1599999999999999</v>
      </c>
      <c r="B371" s="52">
        <v>6175.0361000000003</v>
      </c>
      <c r="C371" s="52">
        <v>489.81779999999998</v>
      </c>
      <c r="D371" s="52">
        <v>244.90889999999999</v>
      </c>
      <c r="E371" s="52">
        <v>244.90889999999999</v>
      </c>
      <c r="F371" s="52">
        <v>979.63549999999998</v>
      </c>
      <c r="G371" s="52">
        <v>489.81779999999998</v>
      </c>
      <c r="H371" s="52">
        <v>489.81779999999998</v>
      </c>
      <c r="I371" s="52">
        <v>979.63549999999998</v>
      </c>
      <c r="J371" s="52">
        <v>376.08229999999998</v>
      </c>
      <c r="K371" s="52">
        <v>1128.2470000000001</v>
      </c>
      <c r="L371" s="52">
        <v>376.08229999999998</v>
      </c>
      <c r="M371" s="52">
        <v>376.08229999999998</v>
      </c>
      <c r="N371" s="5" t="s">
        <v>69</v>
      </c>
    </row>
    <row r="372" spans="1:14" x14ac:dyDescent="0.25">
      <c r="A372" s="51">
        <v>1.161</v>
      </c>
      <c r="B372" s="52">
        <v>6178.4142000000002</v>
      </c>
      <c r="C372" s="52">
        <v>490.24</v>
      </c>
      <c r="D372" s="52">
        <v>245.12</v>
      </c>
      <c r="E372" s="52">
        <v>245.12</v>
      </c>
      <c r="F372" s="52">
        <v>980.48</v>
      </c>
      <c r="G372" s="52">
        <v>490.24</v>
      </c>
      <c r="H372" s="52">
        <v>490.24</v>
      </c>
      <c r="I372" s="52">
        <v>980.48</v>
      </c>
      <c r="J372" s="52">
        <v>376.08229999999998</v>
      </c>
      <c r="K372" s="52">
        <v>1128.2470000000001</v>
      </c>
      <c r="L372" s="52">
        <v>376.08229999999998</v>
      </c>
      <c r="M372" s="52">
        <v>376.08229999999998</v>
      </c>
      <c r="N372" s="5" t="s">
        <v>69</v>
      </c>
    </row>
    <row r="373" spans="1:14" x14ac:dyDescent="0.25">
      <c r="A373" s="51">
        <v>1.1619999999999999</v>
      </c>
      <c r="B373" s="52">
        <v>6181.7921999999999</v>
      </c>
      <c r="C373" s="52">
        <v>490.66230000000002</v>
      </c>
      <c r="D373" s="52">
        <v>245.33109999999999</v>
      </c>
      <c r="E373" s="52">
        <v>245.33109999999999</v>
      </c>
      <c r="F373" s="52">
        <v>981.32460000000003</v>
      </c>
      <c r="G373" s="52">
        <v>490.66230000000002</v>
      </c>
      <c r="H373" s="52">
        <v>490.66230000000002</v>
      </c>
      <c r="I373" s="52">
        <v>981.32460000000003</v>
      </c>
      <c r="J373" s="52">
        <v>376.08229999999998</v>
      </c>
      <c r="K373" s="52">
        <v>1128.2470000000001</v>
      </c>
      <c r="L373" s="52">
        <v>376.08229999999998</v>
      </c>
      <c r="M373" s="52">
        <v>376.08229999999998</v>
      </c>
      <c r="N373" s="5" t="s">
        <v>69</v>
      </c>
    </row>
    <row r="374" spans="1:14" x14ac:dyDescent="0.25">
      <c r="A374" s="51">
        <v>1.163</v>
      </c>
      <c r="B374" s="52">
        <v>6185.1702999999998</v>
      </c>
      <c r="C374" s="52">
        <v>491.08449999999999</v>
      </c>
      <c r="D374" s="52">
        <v>245.54230000000001</v>
      </c>
      <c r="E374" s="52">
        <v>245.54230000000001</v>
      </c>
      <c r="F374" s="52">
        <v>982.16909999999996</v>
      </c>
      <c r="G374" s="52">
        <v>491.08449999999999</v>
      </c>
      <c r="H374" s="52">
        <v>491.08449999999999</v>
      </c>
      <c r="I374" s="52">
        <v>982.16909999999996</v>
      </c>
      <c r="J374" s="52">
        <v>376.08229999999998</v>
      </c>
      <c r="K374" s="52">
        <v>1128.2470000000001</v>
      </c>
      <c r="L374" s="52">
        <v>376.08229999999998</v>
      </c>
      <c r="M374" s="52">
        <v>376.08229999999998</v>
      </c>
      <c r="N374" s="5" t="s">
        <v>69</v>
      </c>
    </row>
    <row r="375" spans="1:14" x14ac:dyDescent="0.25">
      <c r="A375" s="51">
        <v>1.1639999999999999</v>
      </c>
      <c r="B375" s="52">
        <v>6188.5483999999997</v>
      </c>
      <c r="C375" s="52">
        <v>491.5068</v>
      </c>
      <c r="D375" s="52">
        <v>245.7534</v>
      </c>
      <c r="E375" s="52">
        <v>245.7534</v>
      </c>
      <c r="F375" s="52">
        <v>983.0136</v>
      </c>
      <c r="G375" s="52">
        <v>491.5068</v>
      </c>
      <c r="H375" s="52">
        <v>491.5068</v>
      </c>
      <c r="I375" s="52">
        <v>983.0136</v>
      </c>
      <c r="J375" s="52">
        <v>376.08229999999998</v>
      </c>
      <c r="K375" s="52">
        <v>1128.2470000000001</v>
      </c>
      <c r="L375" s="52">
        <v>376.08229999999998</v>
      </c>
      <c r="M375" s="52">
        <v>376.08229999999998</v>
      </c>
      <c r="N375" s="5" t="s">
        <v>69</v>
      </c>
    </row>
    <row r="376" spans="1:14" x14ac:dyDescent="0.25">
      <c r="A376" s="51">
        <v>1.165</v>
      </c>
      <c r="B376" s="52">
        <v>6191.9264000000003</v>
      </c>
      <c r="C376" s="52">
        <v>491.92910000000001</v>
      </c>
      <c r="D376" s="52">
        <v>245.96449999999999</v>
      </c>
      <c r="E376" s="52">
        <v>245.96449999999999</v>
      </c>
      <c r="F376" s="52">
        <v>983.85810000000004</v>
      </c>
      <c r="G376" s="52">
        <v>491.92910000000001</v>
      </c>
      <c r="H376" s="52">
        <v>491.92910000000001</v>
      </c>
      <c r="I376" s="52">
        <v>983.85810000000004</v>
      </c>
      <c r="J376" s="52">
        <v>376.08229999999998</v>
      </c>
      <c r="K376" s="52">
        <v>1128.2470000000001</v>
      </c>
      <c r="L376" s="52">
        <v>376.08229999999998</v>
      </c>
      <c r="M376" s="52">
        <v>376.08229999999998</v>
      </c>
      <c r="N376" s="5" t="s">
        <v>69</v>
      </c>
    </row>
    <row r="377" spans="1:14" x14ac:dyDescent="0.25">
      <c r="A377" s="51">
        <v>1.1659999999999999</v>
      </c>
      <c r="B377" s="52">
        <v>6195.3045000000002</v>
      </c>
      <c r="C377" s="52">
        <v>492.35129999999998</v>
      </c>
      <c r="D377" s="52">
        <v>246.17570000000001</v>
      </c>
      <c r="E377" s="52">
        <v>246.17570000000001</v>
      </c>
      <c r="F377" s="52">
        <v>984.70259999999996</v>
      </c>
      <c r="G377" s="52">
        <v>492.35129999999998</v>
      </c>
      <c r="H377" s="52">
        <v>492.35129999999998</v>
      </c>
      <c r="I377" s="52">
        <v>984.70259999999996</v>
      </c>
      <c r="J377" s="52">
        <v>376.08229999999998</v>
      </c>
      <c r="K377" s="52">
        <v>1128.2470000000001</v>
      </c>
      <c r="L377" s="52">
        <v>376.08229999999998</v>
      </c>
      <c r="M377" s="52">
        <v>376.08229999999998</v>
      </c>
      <c r="N377" s="5" t="s">
        <v>69</v>
      </c>
    </row>
    <row r="378" spans="1:14" x14ac:dyDescent="0.25">
      <c r="A378" s="51">
        <v>1.167</v>
      </c>
      <c r="B378" s="52">
        <v>6198.6824999999999</v>
      </c>
      <c r="C378" s="52">
        <v>492.77359999999999</v>
      </c>
      <c r="D378" s="52">
        <v>246.38679999999999</v>
      </c>
      <c r="E378" s="52">
        <v>246.38679999999999</v>
      </c>
      <c r="F378" s="52">
        <v>985.5471</v>
      </c>
      <c r="G378" s="52">
        <v>492.77359999999999</v>
      </c>
      <c r="H378" s="52">
        <v>492.77359999999999</v>
      </c>
      <c r="I378" s="52">
        <v>985.5471</v>
      </c>
      <c r="J378" s="52">
        <v>376.08229999999998</v>
      </c>
      <c r="K378" s="52">
        <v>1128.2470000000001</v>
      </c>
      <c r="L378" s="52">
        <v>376.08229999999998</v>
      </c>
      <c r="M378" s="52">
        <v>376.08229999999998</v>
      </c>
      <c r="N378" s="5" t="s">
        <v>69</v>
      </c>
    </row>
    <row r="379" spans="1:14" x14ac:dyDescent="0.25">
      <c r="A379" s="51">
        <v>1.1679999999999999</v>
      </c>
      <c r="B379" s="52">
        <v>6202.0605999999998</v>
      </c>
      <c r="C379" s="52">
        <v>493.19580000000002</v>
      </c>
      <c r="D379" s="52">
        <v>246.59790000000001</v>
      </c>
      <c r="E379" s="52">
        <v>246.59790000000001</v>
      </c>
      <c r="F379" s="52">
        <v>986.39160000000004</v>
      </c>
      <c r="G379" s="52">
        <v>493.19580000000002</v>
      </c>
      <c r="H379" s="52">
        <v>493.19580000000002</v>
      </c>
      <c r="I379" s="52">
        <v>986.39160000000004</v>
      </c>
      <c r="J379" s="52">
        <v>376.08229999999998</v>
      </c>
      <c r="K379" s="52">
        <v>1128.2470000000001</v>
      </c>
      <c r="L379" s="52">
        <v>376.08229999999998</v>
      </c>
      <c r="M379" s="52">
        <v>376.08229999999998</v>
      </c>
      <c r="N379" s="5" t="s">
        <v>69</v>
      </c>
    </row>
    <row r="380" spans="1:14" x14ac:dyDescent="0.25">
      <c r="A380" s="51">
        <v>1.169</v>
      </c>
      <c r="B380" s="52">
        <v>6205.4386000000004</v>
      </c>
      <c r="C380" s="52">
        <v>493.61810000000003</v>
      </c>
      <c r="D380" s="52">
        <v>246.809</v>
      </c>
      <c r="E380" s="52">
        <v>246.809</v>
      </c>
      <c r="F380" s="52">
        <v>987.23620000000005</v>
      </c>
      <c r="G380" s="52">
        <v>493.61810000000003</v>
      </c>
      <c r="H380" s="52">
        <v>493.61810000000003</v>
      </c>
      <c r="I380" s="52">
        <v>987.23620000000005</v>
      </c>
      <c r="J380" s="52">
        <v>376.08229999999998</v>
      </c>
      <c r="K380" s="52">
        <v>1128.2470000000001</v>
      </c>
      <c r="L380" s="52">
        <v>376.08229999999998</v>
      </c>
      <c r="M380" s="52">
        <v>376.08229999999998</v>
      </c>
      <c r="N380" s="5" t="s">
        <v>69</v>
      </c>
    </row>
    <row r="381" spans="1:14" x14ac:dyDescent="0.25">
      <c r="A381" s="51">
        <v>1.17</v>
      </c>
      <c r="B381" s="52">
        <v>6208.8167000000003</v>
      </c>
      <c r="C381" s="52">
        <v>494.0403</v>
      </c>
      <c r="D381" s="52">
        <v>247.02019999999999</v>
      </c>
      <c r="E381" s="52">
        <v>247.02019999999999</v>
      </c>
      <c r="F381" s="52">
        <v>988.08069999999998</v>
      </c>
      <c r="G381" s="52">
        <v>494.0403</v>
      </c>
      <c r="H381" s="52">
        <v>494.0403</v>
      </c>
      <c r="I381" s="52">
        <v>988.08069999999998</v>
      </c>
      <c r="J381" s="52">
        <v>376.08229999999998</v>
      </c>
      <c r="K381" s="52">
        <v>1128.2470000000001</v>
      </c>
      <c r="L381" s="52">
        <v>376.08229999999998</v>
      </c>
      <c r="M381" s="52">
        <v>376.08229999999998</v>
      </c>
      <c r="N381" s="5" t="s">
        <v>69</v>
      </c>
    </row>
    <row r="382" spans="1:14" x14ac:dyDescent="0.25">
      <c r="A382" s="51">
        <v>1.171</v>
      </c>
      <c r="B382" s="52">
        <v>6212.1947</v>
      </c>
      <c r="C382" s="52">
        <v>494.46260000000001</v>
      </c>
      <c r="D382" s="52">
        <v>247.2313</v>
      </c>
      <c r="E382" s="52">
        <v>247.2313</v>
      </c>
      <c r="F382" s="52">
        <v>988.92520000000002</v>
      </c>
      <c r="G382" s="52">
        <v>494.46260000000001</v>
      </c>
      <c r="H382" s="52">
        <v>494.46260000000001</v>
      </c>
      <c r="I382" s="52">
        <v>988.92520000000002</v>
      </c>
      <c r="J382" s="52">
        <v>376.08229999999998</v>
      </c>
      <c r="K382" s="52">
        <v>1128.2470000000001</v>
      </c>
      <c r="L382" s="52">
        <v>376.08229999999998</v>
      </c>
      <c r="M382" s="52">
        <v>376.08229999999998</v>
      </c>
      <c r="N382" s="5" t="s">
        <v>69</v>
      </c>
    </row>
    <row r="383" spans="1:14" x14ac:dyDescent="0.25">
      <c r="A383" s="51">
        <v>1.1719999999999999</v>
      </c>
      <c r="B383" s="52">
        <v>6215.5727999999999</v>
      </c>
      <c r="C383" s="52">
        <v>494.88479999999998</v>
      </c>
      <c r="D383" s="52">
        <v>247.44239999999999</v>
      </c>
      <c r="E383" s="52">
        <v>247.44239999999999</v>
      </c>
      <c r="F383" s="52">
        <v>989.76969999999994</v>
      </c>
      <c r="G383" s="52">
        <v>494.88479999999998</v>
      </c>
      <c r="H383" s="52">
        <v>494.88479999999998</v>
      </c>
      <c r="I383" s="52">
        <v>989.76969999999994</v>
      </c>
      <c r="J383" s="52">
        <v>376.08229999999998</v>
      </c>
      <c r="K383" s="52">
        <v>1128.2470000000001</v>
      </c>
      <c r="L383" s="52">
        <v>376.08229999999998</v>
      </c>
      <c r="M383" s="52">
        <v>376.08229999999998</v>
      </c>
      <c r="N383" s="5" t="s">
        <v>69</v>
      </c>
    </row>
    <row r="384" spans="1:14" x14ac:dyDescent="0.25">
      <c r="A384" s="51">
        <v>1.173</v>
      </c>
      <c r="B384" s="52">
        <v>6218.9507999999996</v>
      </c>
      <c r="C384" s="52">
        <v>495.30709999999999</v>
      </c>
      <c r="D384" s="52">
        <v>247.65360000000001</v>
      </c>
      <c r="E384" s="52">
        <v>247.65360000000001</v>
      </c>
      <c r="F384" s="52">
        <v>990.61419999999998</v>
      </c>
      <c r="G384" s="52">
        <v>495.30709999999999</v>
      </c>
      <c r="H384" s="52">
        <v>495.30709999999999</v>
      </c>
      <c r="I384" s="52">
        <v>990.61419999999998</v>
      </c>
      <c r="J384" s="52">
        <v>376.08229999999998</v>
      </c>
      <c r="K384" s="52">
        <v>1128.2470000000001</v>
      </c>
      <c r="L384" s="52">
        <v>376.08229999999998</v>
      </c>
      <c r="M384" s="52">
        <v>376.08229999999998</v>
      </c>
      <c r="N384" s="5" t="s">
        <v>69</v>
      </c>
    </row>
    <row r="385" spans="1:14" x14ac:dyDescent="0.25">
      <c r="A385" s="51">
        <v>1.1739999999999999</v>
      </c>
      <c r="B385" s="52">
        <v>6222.3289000000004</v>
      </c>
      <c r="C385" s="52">
        <v>495.7294</v>
      </c>
      <c r="D385" s="52">
        <v>247.8647</v>
      </c>
      <c r="E385" s="52">
        <v>247.8647</v>
      </c>
      <c r="F385" s="52">
        <v>991.45870000000002</v>
      </c>
      <c r="G385" s="52">
        <v>495.7294</v>
      </c>
      <c r="H385" s="52">
        <v>495.7294</v>
      </c>
      <c r="I385" s="52">
        <v>991.45870000000002</v>
      </c>
      <c r="J385" s="52">
        <v>376.08229999999998</v>
      </c>
      <c r="K385" s="52">
        <v>1128.2470000000001</v>
      </c>
      <c r="L385" s="52">
        <v>376.08229999999998</v>
      </c>
      <c r="M385" s="52">
        <v>376.08229999999998</v>
      </c>
      <c r="N385" s="5" t="s">
        <v>69</v>
      </c>
    </row>
    <row r="386" spans="1:14" x14ac:dyDescent="0.25">
      <c r="A386" s="51">
        <v>1.175</v>
      </c>
      <c r="B386" s="52">
        <v>6225.7069000000001</v>
      </c>
      <c r="C386" s="52">
        <v>496.15159999999997</v>
      </c>
      <c r="D386" s="52">
        <v>248.07579999999999</v>
      </c>
      <c r="E386" s="52">
        <v>248.07579999999999</v>
      </c>
      <c r="F386" s="52">
        <v>992.30319999999995</v>
      </c>
      <c r="G386" s="52">
        <v>496.15159999999997</v>
      </c>
      <c r="H386" s="52">
        <v>496.15159999999997</v>
      </c>
      <c r="I386" s="52">
        <v>992.30319999999995</v>
      </c>
      <c r="J386" s="52">
        <v>376.08229999999998</v>
      </c>
      <c r="K386" s="52">
        <v>1128.2470000000001</v>
      </c>
      <c r="L386" s="52">
        <v>376.08229999999998</v>
      </c>
      <c r="M386" s="52">
        <v>376.08229999999998</v>
      </c>
      <c r="N386" s="5" t="s">
        <v>69</v>
      </c>
    </row>
    <row r="387" spans="1:14" x14ac:dyDescent="0.25">
      <c r="A387" s="51">
        <v>1.1759999999999999</v>
      </c>
      <c r="B387" s="52">
        <v>6229.085</v>
      </c>
      <c r="C387" s="52">
        <v>496.57389999999998</v>
      </c>
      <c r="D387" s="52">
        <v>248.2869</v>
      </c>
      <c r="E387" s="52">
        <v>248.2869</v>
      </c>
      <c r="F387" s="52">
        <v>993.14779999999996</v>
      </c>
      <c r="G387" s="52">
        <v>496.57389999999998</v>
      </c>
      <c r="H387" s="52">
        <v>496.57389999999998</v>
      </c>
      <c r="I387" s="52">
        <v>993.14779999999996</v>
      </c>
      <c r="J387" s="52">
        <v>376.08229999999998</v>
      </c>
      <c r="K387" s="52">
        <v>1128.2470000000001</v>
      </c>
      <c r="L387" s="52">
        <v>376.08229999999998</v>
      </c>
      <c r="M387" s="52">
        <v>376.08229999999998</v>
      </c>
      <c r="N387" s="5" t="s">
        <v>69</v>
      </c>
    </row>
    <row r="388" spans="1:14" x14ac:dyDescent="0.25">
      <c r="A388" s="51">
        <v>1.177</v>
      </c>
      <c r="B388" s="52">
        <v>6232.4630999999999</v>
      </c>
      <c r="C388" s="52">
        <v>496.99610000000001</v>
      </c>
      <c r="D388" s="52">
        <v>248.49809999999999</v>
      </c>
      <c r="E388" s="52">
        <v>248.49809999999999</v>
      </c>
      <c r="F388" s="52">
        <v>993.9923</v>
      </c>
      <c r="G388" s="52">
        <v>496.99610000000001</v>
      </c>
      <c r="H388" s="52">
        <v>496.99610000000001</v>
      </c>
      <c r="I388" s="52">
        <v>993.9923</v>
      </c>
      <c r="J388" s="52">
        <v>376.08229999999998</v>
      </c>
      <c r="K388" s="52">
        <v>1128.2470000000001</v>
      </c>
      <c r="L388" s="52">
        <v>376.08229999999998</v>
      </c>
      <c r="M388" s="52">
        <v>376.08229999999998</v>
      </c>
      <c r="N388" s="5" t="s">
        <v>69</v>
      </c>
    </row>
    <row r="389" spans="1:14" x14ac:dyDescent="0.25">
      <c r="A389" s="51">
        <v>1.1779999999999999</v>
      </c>
      <c r="B389" s="52">
        <v>6235.8410999999996</v>
      </c>
      <c r="C389" s="52">
        <v>497.41840000000002</v>
      </c>
      <c r="D389" s="52">
        <v>248.70920000000001</v>
      </c>
      <c r="E389" s="52">
        <v>248.70920000000001</v>
      </c>
      <c r="F389" s="52">
        <v>994.83680000000004</v>
      </c>
      <c r="G389" s="52">
        <v>497.41840000000002</v>
      </c>
      <c r="H389" s="52">
        <v>497.41840000000002</v>
      </c>
      <c r="I389" s="52">
        <v>994.83680000000004</v>
      </c>
      <c r="J389" s="52">
        <v>376.08229999999998</v>
      </c>
      <c r="K389" s="52">
        <v>1128.2470000000001</v>
      </c>
      <c r="L389" s="52">
        <v>376.08229999999998</v>
      </c>
      <c r="M389" s="52">
        <v>376.08229999999998</v>
      </c>
      <c r="N389" s="5" t="s">
        <v>69</v>
      </c>
    </row>
    <row r="390" spans="1:14" x14ac:dyDescent="0.25">
      <c r="A390" s="51">
        <v>1.179</v>
      </c>
      <c r="B390" s="52">
        <v>6239.2191999999995</v>
      </c>
      <c r="C390" s="52">
        <v>497.84059999999999</v>
      </c>
      <c r="D390" s="52">
        <v>248.9203</v>
      </c>
      <c r="E390" s="52">
        <v>248.9203</v>
      </c>
      <c r="F390" s="52">
        <v>995.68129999999996</v>
      </c>
      <c r="G390" s="52">
        <v>497.84059999999999</v>
      </c>
      <c r="H390" s="52">
        <v>497.84059999999999</v>
      </c>
      <c r="I390" s="52">
        <v>995.68129999999996</v>
      </c>
      <c r="J390" s="52">
        <v>376.08229999999998</v>
      </c>
      <c r="K390" s="52">
        <v>1128.2470000000001</v>
      </c>
      <c r="L390" s="52">
        <v>376.08229999999998</v>
      </c>
      <c r="M390" s="52">
        <v>376.08229999999998</v>
      </c>
      <c r="N390" s="5" t="s">
        <v>69</v>
      </c>
    </row>
    <row r="391" spans="1:14" x14ac:dyDescent="0.25">
      <c r="A391" s="51">
        <v>1.18</v>
      </c>
      <c r="B391" s="52">
        <v>6242.5972000000002</v>
      </c>
      <c r="C391" s="52">
        <v>498.2629</v>
      </c>
      <c r="D391" s="52">
        <v>249.13149999999999</v>
      </c>
      <c r="E391" s="52">
        <v>249.13149999999999</v>
      </c>
      <c r="F391" s="52">
        <v>996.5258</v>
      </c>
      <c r="G391" s="52">
        <v>498.2629</v>
      </c>
      <c r="H391" s="52">
        <v>498.2629</v>
      </c>
      <c r="I391" s="52">
        <v>996.5258</v>
      </c>
      <c r="J391" s="52">
        <v>376.08229999999998</v>
      </c>
      <c r="K391" s="52">
        <v>1128.2470000000001</v>
      </c>
      <c r="L391" s="52">
        <v>376.08229999999998</v>
      </c>
      <c r="M391" s="52">
        <v>376.08229999999998</v>
      </c>
      <c r="N391" s="5" t="s">
        <v>69</v>
      </c>
    </row>
    <row r="392" spans="1:14" x14ac:dyDescent="0.25">
      <c r="A392" s="51">
        <v>1.181</v>
      </c>
      <c r="B392" s="52">
        <v>6245.9753000000001</v>
      </c>
      <c r="C392" s="52">
        <v>498.68520000000001</v>
      </c>
      <c r="D392" s="52">
        <v>249.3426</v>
      </c>
      <c r="E392" s="52">
        <v>249.3426</v>
      </c>
      <c r="F392" s="52">
        <v>997.37030000000004</v>
      </c>
      <c r="G392" s="52">
        <v>498.68520000000001</v>
      </c>
      <c r="H392" s="52">
        <v>498.68520000000001</v>
      </c>
      <c r="I392" s="52">
        <v>997.37030000000004</v>
      </c>
      <c r="J392" s="52">
        <v>376.08229999999998</v>
      </c>
      <c r="K392" s="52">
        <v>1128.2470000000001</v>
      </c>
      <c r="L392" s="52">
        <v>376.08229999999998</v>
      </c>
      <c r="M392" s="52">
        <v>376.08229999999998</v>
      </c>
      <c r="N392" s="5" t="s">
        <v>69</v>
      </c>
    </row>
    <row r="393" spans="1:14" x14ac:dyDescent="0.25">
      <c r="A393" s="51">
        <v>1.1819999999999999</v>
      </c>
      <c r="B393" s="52">
        <v>6249.3532999999998</v>
      </c>
      <c r="C393" s="52">
        <v>499.10739999999998</v>
      </c>
      <c r="D393" s="52">
        <v>249.55369999999999</v>
      </c>
      <c r="E393" s="52">
        <v>249.55369999999999</v>
      </c>
      <c r="F393" s="52">
        <v>998.21479999999997</v>
      </c>
      <c r="G393" s="52">
        <v>499.10739999999998</v>
      </c>
      <c r="H393" s="52">
        <v>499.10739999999998</v>
      </c>
      <c r="I393" s="52">
        <v>998.21479999999997</v>
      </c>
      <c r="J393" s="52">
        <v>376.08229999999998</v>
      </c>
      <c r="K393" s="52">
        <v>1128.2470000000001</v>
      </c>
      <c r="L393" s="52">
        <v>376.08229999999998</v>
      </c>
      <c r="M393" s="52">
        <v>376.08229999999998</v>
      </c>
      <c r="N393" s="5" t="s">
        <v>69</v>
      </c>
    </row>
    <row r="394" spans="1:14" x14ac:dyDescent="0.25">
      <c r="A394" s="51">
        <v>1.1830000000000001</v>
      </c>
      <c r="B394" s="52">
        <v>6252.7313999999997</v>
      </c>
      <c r="C394" s="52">
        <v>499.52969999999999</v>
      </c>
      <c r="D394" s="52">
        <v>249.76480000000001</v>
      </c>
      <c r="E394" s="52">
        <v>249.76480000000001</v>
      </c>
      <c r="F394" s="52">
        <v>999.05930000000001</v>
      </c>
      <c r="G394" s="52">
        <v>499.52969999999999</v>
      </c>
      <c r="H394" s="52">
        <v>499.52969999999999</v>
      </c>
      <c r="I394" s="52">
        <v>999.05930000000001</v>
      </c>
      <c r="J394" s="52">
        <v>376.08229999999998</v>
      </c>
      <c r="K394" s="52">
        <v>1128.2470000000001</v>
      </c>
      <c r="L394" s="52">
        <v>376.08229999999998</v>
      </c>
      <c r="M394" s="52">
        <v>376.08229999999998</v>
      </c>
      <c r="N394" s="5" t="s">
        <v>69</v>
      </c>
    </row>
    <row r="395" spans="1:14" x14ac:dyDescent="0.25">
      <c r="A395" s="51">
        <v>1.1839999999999999</v>
      </c>
      <c r="B395" s="52">
        <v>6256.1094000000003</v>
      </c>
      <c r="C395" s="52">
        <v>499.95190000000002</v>
      </c>
      <c r="D395" s="52">
        <v>249.976</v>
      </c>
      <c r="E395" s="52">
        <v>249.976</v>
      </c>
      <c r="F395" s="52">
        <v>999.90390000000002</v>
      </c>
      <c r="G395" s="52">
        <v>499.95190000000002</v>
      </c>
      <c r="H395" s="52">
        <v>499.95190000000002</v>
      </c>
      <c r="I395" s="52">
        <v>999.90390000000002</v>
      </c>
      <c r="J395" s="52">
        <v>376.08229999999998</v>
      </c>
      <c r="K395" s="52">
        <v>1128.2470000000001</v>
      </c>
      <c r="L395" s="52">
        <v>376.08229999999998</v>
      </c>
      <c r="M395" s="52">
        <v>376.08229999999998</v>
      </c>
      <c r="N395" s="5" t="s">
        <v>69</v>
      </c>
    </row>
    <row r="396" spans="1:14" x14ac:dyDescent="0.25">
      <c r="A396" s="51">
        <v>1.1850000000000001</v>
      </c>
      <c r="B396" s="52">
        <v>6259.4875000000002</v>
      </c>
      <c r="C396" s="52">
        <v>500.37419999999997</v>
      </c>
      <c r="D396" s="52">
        <v>250.18709999999999</v>
      </c>
      <c r="E396" s="52">
        <v>250.18709999999999</v>
      </c>
      <c r="F396" s="52">
        <v>1000.7483999999999</v>
      </c>
      <c r="G396" s="52">
        <v>500.37419999999997</v>
      </c>
      <c r="H396" s="52">
        <v>500.37419999999997</v>
      </c>
      <c r="I396" s="52">
        <v>1000.7483999999999</v>
      </c>
      <c r="J396" s="52">
        <v>376.08229999999998</v>
      </c>
      <c r="K396" s="52">
        <v>1128.2470000000001</v>
      </c>
      <c r="L396" s="52">
        <v>376.08229999999998</v>
      </c>
      <c r="M396" s="52">
        <v>376.08229999999998</v>
      </c>
      <c r="N396" s="5" t="s">
        <v>69</v>
      </c>
    </row>
    <row r="397" spans="1:14" x14ac:dyDescent="0.25">
      <c r="A397" s="51">
        <v>1.1859999999999999</v>
      </c>
      <c r="B397" s="52">
        <v>6262.8654999999999</v>
      </c>
      <c r="C397" s="52">
        <v>500.79640000000001</v>
      </c>
      <c r="D397" s="52">
        <v>250.3982</v>
      </c>
      <c r="E397" s="52">
        <v>250.3982</v>
      </c>
      <c r="F397" s="52">
        <v>1001.5929</v>
      </c>
      <c r="G397" s="52">
        <v>500.79640000000001</v>
      </c>
      <c r="H397" s="52">
        <v>500.79640000000001</v>
      </c>
      <c r="I397" s="52">
        <v>1001.5929</v>
      </c>
      <c r="J397" s="52">
        <v>376.08229999999998</v>
      </c>
      <c r="K397" s="52">
        <v>1128.2470000000001</v>
      </c>
      <c r="L397" s="52">
        <v>376.08229999999998</v>
      </c>
      <c r="M397" s="52">
        <v>376.08229999999998</v>
      </c>
      <c r="N397" s="5" t="s">
        <v>69</v>
      </c>
    </row>
    <row r="398" spans="1:14" x14ac:dyDescent="0.25">
      <c r="A398" s="51">
        <v>1.1870000000000001</v>
      </c>
      <c r="B398" s="52">
        <v>6266.2435999999998</v>
      </c>
      <c r="C398" s="52">
        <v>501.21870000000001</v>
      </c>
      <c r="D398" s="52">
        <v>250.60929999999999</v>
      </c>
      <c r="E398" s="52">
        <v>250.60929999999999</v>
      </c>
      <c r="F398" s="52">
        <v>1002.4374</v>
      </c>
      <c r="G398" s="52">
        <v>501.21870000000001</v>
      </c>
      <c r="H398" s="52">
        <v>501.21870000000001</v>
      </c>
      <c r="I398" s="52">
        <v>1002.4374</v>
      </c>
      <c r="J398" s="52">
        <v>376.08229999999998</v>
      </c>
      <c r="K398" s="52">
        <v>1128.2470000000001</v>
      </c>
      <c r="L398" s="52">
        <v>376.08229999999998</v>
      </c>
      <c r="M398" s="52">
        <v>376.08229999999998</v>
      </c>
      <c r="N398" s="5" t="s">
        <v>69</v>
      </c>
    </row>
    <row r="399" spans="1:14" x14ac:dyDescent="0.25">
      <c r="A399" s="51">
        <v>1.1879999999999999</v>
      </c>
      <c r="B399" s="52">
        <v>6269.6216000000004</v>
      </c>
      <c r="C399" s="52">
        <v>501.64100000000002</v>
      </c>
      <c r="D399" s="52">
        <v>250.82050000000001</v>
      </c>
      <c r="E399" s="52">
        <v>250.82050000000001</v>
      </c>
      <c r="F399" s="52">
        <v>1003.2819</v>
      </c>
      <c r="G399" s="52">
        <v>501.64100000000002</v>
      </c>
      <c r="H399" s="52">
        <v>501.64100000000002</v>
      </c>
      <c r="I399" s="52">
        <v>1003.2819</v>
      </c>
      <c r="J399" s="52">
        <v>376.08229999999998</v>
      </c>
      <c r="K399" s="52">
        <v>1128.2470000000001</v>
      </c>
      <c r="L399" s="52">
        <v>376.08229999999998</v>
      </c>
      <c r="M399" s="52">
        <v>376.08229999999998</v>
      </c>
      <c r="N399" s="5" t="s">
        <v>69</v>
      </c>
    </row>
    <row r="400" spans="1:14" x14ac:dyDescent="0.25">
      <c r="A400" s="51">
        <v>1.1890000000000001</v>
      </c>
      <c r="B400" s="52">
        <v>6272.9997000000003</v>
      </c>
      <c r="C400" s="52">
        <v>502.06319999999999</v>
      </c>
      <c r="D400" s="52">
        <v>251.0316</v>
      </c>
      <c r="E400" s="52">
        <v>251.0316</v>
      </c>
      <c r="F400" s="52">
        <v>1004.1264</v>
      </c>
      <c r="G400" s="52">
        <v>502.06319999999999</v>
      </c>
      <c r="H400" s="52">
        <v>502.06319999999999</v>
      </c>
      <c r="I400" s="52">
        <v>1004.1264</v>
      </c>
      <c r="J400" s="52">
        <v>376.08229999999998</v>
      </c>
      <c r="K400" s="52">
        <v>1128.2470000000001</v>
      </c>
      <c r="L400" s="52">
        <v>376.08229999999998</v>
      </c>
      <c r="M400" s="52">
        <v>376.08229999999998</v>
      </c>
      <c r="N400" s="5" t="s">
        <v>69</v>
      </c>
    </row>
    <row r="401" spans="1:14" x14ac:dyDescent="0.25">
      <c r="A401" s="51">
        <v>1.19</v>
      </c>
      <c r="B401" s="52">
        <v>6276.3777</v>
      </c>
      <c r="C401" s="52">
        <v>502.4855</v>
      </c>
      <c r="D401" s="52">
        <v>251.24270000000001</v>
      </c>
      <c r="E401" s="52">
        <v>251.24270000000001</v>
      </c>
      <c r="F401" s="52">
        <v>1004.9709</v>
      </c>
      <c r="G401" s="52">
        <v>502.4855</v>
      </c>
      <c r="H401" s="52">
        <v>502.4855</v>
      </c>
      <c r="I401" s="52">
        <v>1004.9709</v>
      </c>
      <c r="J401" s="52">
        <v>376.08229999999998</v>
      </c>
      <c r="K401" s="52">
        <v>1128.2470000000001</v>
      </c>
      <c r="L401" s="52">
        <v>376.08229999999998</v>
      </c>
      <c r="M401" s="52">
        <v>376.08229999999998</v>
      </c>
      <c r="N401" s="5" t="s">
        <v>69</v>
      </c>
    </row>
    <row r="402" spans="1:14" x14ac:dyDescent="0.25">
      <c r="A402" s="51">
        <v>1.1910000000000001</v>
      </c>
      <c r="B402" s="52">
        <v>6279.7557999999999</v>
      </c>
      <c r="C402" s="52">
        <v>502.90769999999998</v>
      </c>
      <c r="D402" s="52">
        <v>251.4539</v>
      </c>
      <c r="E402" s="52">
        <v>251.4539</v>
      </c>
      <c r="F402" s="52">
        <v>1005.8155</v>
      </c>
      <c r="G402" s="52">
        <v>502.90769999999998</v>
      </c>
      <c r="H402" s="52">
        <v>502.90769999999998</v>
      </c>
      <c r="I402" s="52">
        <v>1005.8155</v>
      </c>
      <c r="J402" s="52">
        <v>376.08229999999998</v>
      </c>
      <c r="K402" s="52">
        <v>1128.2470000000001</v>
      </c>
      <c r="L402" s="52">
        <v>376.08229999999998</v>
      </c>
      <c r="M402" s="52">
        <v>376.08229999999998</v>
      </c>
      <c r="N402" s="5" t="s">
        <v>69</v>
      </c>
    </row>
    <row r="403" spans="1:14" x14ac:dyDescent="0.25">
      <c r="A403" s="51">
        <v>1.1919999999999999</v>
      </c>
      <c r="B403" s="52">
        <v>6283.1338999999998</v>
      </c>
      <c r="C403" s="52">
        <v>503.33</v>
      </c>
      <c r="D403" s="52">
        <v>251.66499999999999</v>
      </c>
      <c r="E403" s="52">
        <v>251.66499999999999</v>
      </c>
      <c r="F403" s="52">
        <v>1006.66</v>
      </c>
      <c r="G403" s="52">
        <v>503.33</v>
      </c>
      <c r="H403" s="52">
        <v>503.33</v>
      </c>
      <c r="I403" s="52">
        <v>1006.66</v>
      </c>
      <c r="J403" s="52">
        <v>376.08229999999998</v>
      </c>
      <c r="K403" s="52">
        <v>1128.2470000000001</v>
      </c>
      <c r="L403" s="52">
        <v>376.08229999999998</v>
      </c>
      <c r="M403" s="52">
        <v>376.08229999999998</v>
      </c>
      <c r="N403" s="5" t="s">
        <v>69</v>
      </c>
    </row>
    <row r="404" spans="1:14" x14ac:dyDescent="0.25">
      <c r="A404" s="51">
        <v>1.1930000000000001</v>
      </c>
      <c r="B404" s="52">
        <v>6286.5119000000004</v>
      </c>
      <c r="C404" s="52">
        <v>503.75220000000002</v>
      </c>
      <c r="D404" s="52">
        <v>251.87610000000001</v>
      </c>
      <c r="E404" s="52">
        <v>251.87610000000001</v>
      </c>
      <c r="F404" s="52">
        <v>1007.5045</v>
      </c>
      <c r="G404" s="52">
        <v>503.75220000000002</v>
      </c>
      <c r="H404" s="52">
        <v>503.75220000000002</v>
      </c>
      <c r="I404" s="52">
        <v>1007.5045</v>
      </c>
      <c r="J404" s="52">
        <v>376.08229999999998</v>
      </c>
      <c r="K404" s="52">
        <v>1128.2470000000001</v>
      </c>
      <c r="L404" s="52">
        <v>376.08229999999998</v>
      </c>
      <c r="M404" s="52">
        <v>376.08229999999998</v>
      </c>
      <c r="N404" s="5" t="s">
        <v>69</v>
      </c>
    </row>
    <row r="405" spans="1:14" x14ac:dyDescent="0.25">
      <c r="A405" s="51">
        <v>1.194</v>
      </c>
      <c r="B405" s="52">
        <v>6289.89</v>
      </c>
      <c r="C405" s="52">
        <v>504.17450000000002</v>
      </c>
      <c r="D405" s="52">
        <v>252.0872</v>
      </c>
      <c r="E405" s="52">
        <v>252.0872</v>
      </c>
      <c r="F405" s="52">
        <v>1008.349</v>
      </c>
      <c r="G405" s="52">
        <v>504.17450000000002</v>
      </c>
      <c r="H405" s="52">
        <v>504.17450000000002</v>
      </c>
      <c r="I405" s="52">
        <v>1008.349</v>
      </c>
      <c r="J405" s="52">
        <v>376.08229999999998</v>
      </c>
      <c r="K405" s="52">
        <v>1128.2470000000001</v>
      </c>
      <c r="L405" s="52">
        <v>376.08229999999998</v>
      </c>
      <c r="M405" s="52">
        <v>376.08229999999998</v>
      </c>
      <c r="N405" s="5" t="s">
        <v>69</v>
      </c>
    </row>
    <row r="406" spans="1:14" x14ac:dyDescent="0.25">
      <c r="A406" s="51">
        <v>1.1950000000000001</v>
      </c>
      <c r="B406" s="52">
        <v>6293.268</v>
      </c>
      <c r="C406" s="52">
        <v>504.59679999999997</v>
      </c>
      <c r="D406" s="52">
        <v>252.29839999999999</v>
      </c>
      <c r="E406" s="52">
        <v>252.29839999999999</v>
      </c>
      <c r="F406" s="52">
        <v>1009.1935</v>
      </c>
      <c r="G406" s="52">
        <v>504.59679999999997</v>
      </c>
      <c r="H406" s="52">
        <v>504.59679999999997</v>
      </c>
      <c r="I406" s="52">
        <v>1009.1935</v>
      </c>
      <c r="J406" s="52">
        <v>376.08229999999998</v>
      </c>
      <c r="K406" s="52">
        <v>1128.2470000000001</v>
      </c>
      <c r="L406" s="52">
        <v>376.08229999999998</v>
      </c>
      <c r="M406" s="52">
        <v>376.08229999999998</v>
      </c>
      <c r="N406" s="5" t="s">
        <v>69</v>
      </c>
    </row>
    <row r="407" spans="1:14" x14ac:dyDescent="0.25">
      <c r="A407" s="51">
        <v>1.196</v>
      </c>
      <c r="B407" s="52">
        <v>6296.6460999999999</v>
      </c>
      <c r="C407" s="52">
        <v>505.01900000000001</v>
      </c>
      <c r="D407" s="52">
        <v>252.5095</v>
      </c>
      <c r="E407" s="52">
        <v>252.5095</v>
      </c>
      <c r="F407" s="52">
        <v>1010.038</v>
      </c>
      <c r="G407" s="52">
        <v>505.01900000000001</v>
      </c>
      <c r="H407" s="52">
        <v>505.01900000000001</v>
      </c>
      <c r="I407" s="52">
        <v>1010.038</v>
      </c>
      <c r="J407" s="52">
        <v>376.08229999999998</v>
      </c>
      <c r="K407" s="52">
        <v>1128.2470000000001</v>
      </c>
      <c r="L407" s="52">
        <v>376.08229999999998</v>
      </c>
      <c r="M407" s="52">
        <v>376.08229999999998</v>
      </c>
      <c r="N407" s="5" t="s">
        <v>69</v>
      </c>
    </row>
    <row r="408" spans="1:14" x14ac:dyDescent="0.25">
      <c r="A408" s="51">
        <v>1.1970000000000001</v>
      </c>
      <c r="B408" s="52">
        <v>6300.0240999999996</v>
      </c>
      <c r="C408" s="52">
        <v>505.44130000000001</v>
      </c>
      <c r="D408" s="52">
        <v>252.72059999999999</v>
      </c>
      <c r="E408" s="52">
        <v>252.72059999999999</v>
      </c>
      <c r="F408" s="52">
        <v>1010.8825000000001</v>
      </c>
      <c r="G408" s="52">
        <v>505.44130000000001</v>
      </c>
      <c r="H408" s="52">
        <v>505.44130000000001</v>
      </c>
      <c r="I408" s="52">
        <v>1010.8825000000001</v>
      </c>
      <c r="J408" s="52">
        <v>376.08229999999998</v>
      </c>
      <c r="K408" s="52">
        <v>1128.2470000000001</v>
      </c>
      <c r="L408" s="52">
        <v>376.08229999999998</v>
      </c>
      <c r="M408" s="52">
        <v>376.08229999999998</v>
      </c>
      <c r="N408" s="5" t="s">
        <v>69</v>
      </c>
    </row>
    <row r="409" spans="1:14" x14ac:dyDescent="0.25">
      <c r="A409" s="51">
        <v>1.198</v>
      </c>
      <c r="B409" s="52">
        <v>6303.4022000000004</v>
      </c>
      <c r="C409" s="52">
        <v>505.86349999999999</v>
      </c>
      <c r="D409" s="52">
        <v>252.93180000000001</v>
      </c>
      <c r="E409" s="52">
        <v>252.93180000000001</v>
      </c>
      <c r="F409" s="52">
        <v>1011.727</v>
      </c>
      <c r="G409" s="52">
        <v>505.86349999999999</v>
      </c>
      <c r="H409" s="52">
        <v>505.86349999999999</v>
      </c>
      <c r="I409" s="52">
        <v>1011.727</v>
      </c>
      <c r="J409" s="52">
        <v>376.08229999999998</v>
      </c>
      <c r="K409" s="52">
        <v>1128.2470000000001</v>
      </c>
      <c r="L409" s="52">
        <v>376.08229999999998</v>
      </c>
      <c r="M409" s="52">
        <v>376.08229999999998</v>
      </c>
      <c r="N409" s="5" t="s">
        <v>69</v>
      </c>
    </row>
    <row r="410" spans="1:14" x14ac:dyDescent="0.25">
      <c r="A410" s="51">
        <v>1.1990000000000001</v>
      </c>
      <c r="B410" s="52">
        <v>6306.7802000000001</v>
      </c>
      <c r="C410" s="52">
        <v>506.28579999999999</v>
      </c>
      <c r="D410" s="52">
        <v>253.1429</v>
      </c>
      <c r="E410" s="52">
        <v>253.1429</v>
      </c>
      <c r="F410" s="52">
        <v>1012.5716</v>
      </c>
      <c r="G410" s="52">
        <v>506.28579999999999</v>
      </c>
      <c r="H410" s="52">
        <v>506.28579999999999</v>
      </c>
      <c r="I410" s="52">
        <v>1012.5716</v>
      </c>
      <c r="J410" s="52">
        <v>376.08229999999998</v>
      </c>
      <c r="K410" s="52">
        <v>1128.2470000000001</v>
      </c>
      <c r="L410" s="52">
        <v>376.08229999999998</v>
      </c>
      <c r="M410" s="52">
        <v>376.08229999999998</v>
      </c>
      <c r="N410" s="5" t="s">
        <v>69</v>
      </c>
    </row>
    <row r="411" spans="1:14" x14ac:dyDescent="0.25">
      <c r="A411" s="51">
        <v>1.2</v>
      </c>
      <c r="B411" s="52">
        <v>7152.0731999999998</v>
      </c>
      <c r="C411" s="52">
        <v>611.94740000000002</v>
      </c>
      <c r="D411" s="52">
        <v>305.97370000000001</v>
      </c>
      <c r="E411" s="52">
        <v>305.97370000000001</v>
      </c>
      <c r="F411" s="52">
        <v>1223.8948</v>
      </c>
      <c r="G411" s="52">
        <v>611.94740000000002</v>
      </c>
      <c r="H411" s="52">
        <v>611.94740000000002</v>
      </c>
      <c r="I411" s="52">
        <v>1223.8948</v>
      </c>
      <c r="J411" s="52">
        <v>376.08229999999998</v>
      </c>
      <c r="K411" s="52">
        <v>1128.2470000000001</v>
      </c>
      <c r="L411" s="52">
        <v>376.08229999999998</v>
      </c>
      <c r="M411" s="52">
        <v>376.08229999999998</v>
      </c>
      <c r="N411" s="5" t="s">
        <v>69</v>
      </c>
    </row>
    <row r="412" spans="1:14" x14ac:dyDescent="0.25">
      <c r="A412" s="51">
        <v>1.2010000000000001</v>
      </c>
      <c r="B412" s="52">
        <v>7156.1527999999998</v>
      </c>
      <c r="C412" s="52">
        <v>612.45740000000001</v>
      </c>
      <c r="D412" s="52">
        <v>306.2287</v>
      </c>
      <c r="E412" s="52">
        <v>306.2287</v>
      </c>
      <c r="F412" s="52">
        <v>1224.9147</v>
      </c>
      <c r="G412" s="52">
        <v>612.45740000000001</v>
      </c>
      <c r="H412" s="52">
        <v>612.45740000000001</v>
      </c>
      <c r="I412" s="52">
        <v>1224.9147</v>
      </c>
      <c r="J412" s="52">
        <v>376.08229999999998</v>
      </c>
      <c r="K412" s="52">
        <v>1128.2470000000001</v>
      </c>
      <c r="L412" s="52">
        <v>376.08229999999998</v>
      </c>
      <c r="M412" s="52">
        <v>376.08229999999998</v>
      </c>
      <c r="N412" s="5" t="s">
        <v>69</v>
      </c>
    </row>
    <row r="413" spans="1:14" x14ac:dyDescent="0.25">
      <c r="A413" s="51">
        <v>1.202</v>
      </c>
      <c r="B413" s="52">
        <v>7160.2325000000001</v>
      </c>
      <c r="C413" s="52">
        <v>612.96730000000002</v>
      </c>
      <c r="D413" s="52">
        <v>306.4837</v>
      </c>
      <c r="E413" s="52">
        <v>306.4837</v>
      </c>
      <c r="F413" s="52">
        <v>1225.9346</v>
      </c>
      <c r="G413" s="52">
        <v>612.96730000000002</v>
      </c>
      <c r="H413" s="52">
        <v>612.96730000000002</v>
      </c>
      <c r="I413" s="52">
        <v>1225.9346</v>
      </c>
      <c r="J413" s="52">
        <v>376.08229999999998</v>
      </c>
      <c r="K413" s="52">
        <v>1128.2470000000001</v>
      </c>
      <c r="L413" s="52">
        <v>376.08229999999998</v>
      </c>
      <c r="M413" s="52">
        <v>376.08229999999998</v>
      </c>
      <c r="N413" s="5" t="s">
        <v>69</v>
      </c>
    </row>
    <row r="414" spans="1:14" x14ac:dyDescent="0.25">
      <c r="A414" s="51">
        <v>1.2030000000000001</v>
      </c>
      <c r="B414" s="52">
        <v>7164.3121000000001</v>
      </c>
      <c r="C414" s="52">
        <v>613.47730000000001</v>
      </c>
      <c r="D414" s="52">
        <v>306.73860000000002</v>
      </c>
      <c r="E414" s="52">
        <v>306.73860000000002</v>
      </c>
      <c r="F414" s="52">
        <v>1226.9545000000001</v>
      </c>
      <c r="G414" s="52">
        <v>613.47730000000001</v>
      </c>
      <c r="H414" s="52">
        <v>613.47730000000001</v>
      </c>
      <c r="I414" s="52">
        <v>1226.9545000000001</v>
      </c>
      <c r="J414" s="52">
        <v>376.08229999999998</v>
      </c>
      <c r="K414" s="52">
        <v>1128.2470000000001</v>
      </c>
      <c r="L414" s="52">
        <v>376.08229999999998</v>
      </c>
      <c r="M414" s="52">
        <v>376.08229999999998</v>
      </c>
      <c r="N414" s="5" t="s">
        <v>69</v>
      </c>
    </row>
    <row r="415" spans="1:14" x14ac:dyDescent="0.25">
      <c r="A415" s="51">
        <v>1.204</v>
      </c>
      <c r="B415" s="52">
        <v>7168.3918000000003</v>
      </c>
      <c r="C415" s="52">
        <v>613.98720000000003</v>
      </c>
      <c r="D415" s="52">
        <v>306.99360000000001</v>
      </c>
      <c r="E415" s="52">
        <v>306.99360000000001</v>
      </c>
      <c r="F415" s="52">
        <v>1227.9744000000001</v>
      </c>
      <c r="G415" s="52">
        <v>613.98720000000003</v>
      </c>
      <c r="H415" s="52">
        <v>613.98720000000003</v>
      </c>
      <c r="I415" s="52">
        <v>1227.9744000000001</v>
      </c>
      <c r="J415" s="52">
        <v>376.08229999999998</v>
      </c>
      <c r="K415" s="52">
        <v>1128.2470000000001</v>
      </c>
      <c r="L415" s="52">
        <v>376.08229999999998</v>
      </c>
      <c r="M415" s="52">
        <v>376.08229999999998</v>
      </c>
      <c r="N415" s="5" t="s">
        <v>69</v>
      </c>
    </row>
    <row r="416" spans="1:14" x14ac:dyDescent="0.25">
      <c r="A416" s="51">
        <v>1.2050000000000001</v>
      </c>
      <c r="B416" s="52">
        <v>7172.4714000000004</v>
      </c>
      <c r="C416" s="52">
        <v>614.49720000000002</v>
      </c>
      <c r="D416" s="52">
        <v>307.24860000000001</v>
      </c>
      <c r="E416" s="52">
        <v>307.24860000000001</v>
      </c>
      <c r="F416" s="52">
        <v>1228.9944</v>
      </c>
      <c r="G416" s="52">
        <v>614.49720000000002</v>
      </c>
      <c r="H416" s="52">
        <v>614.49720000000002</v>
      </c>
      <c r="I416" s="52">
        <v>1228.9944</v>
      </c>
      <c r="J416" s="52">
        <v>376.08229999999998</v>
      </c>
      <c r="K416" s="52">
        <v>1128.2470000000001</v>
      </c>
      <c r="L416" s="52">
        <v>376.08229999999998</v>
      </c>
      <c r="M416" s="52">
        <v>376.08229999999998</v>
      </c>
      <c r="N416" s="5" t="s">
        <v>69</v>
      </c>
    </row>
    <row r="417" spans="1:14" x14ac:dyDescent="0.25">
      <c r="A417" s="51">
        <v>1.206</v>
      </c>
      <c r="B417" s="52">
        <v>7176.5510999999997</v>
      </c>
      <c r="C417" s="52">
        <v>615.00710000000004</v>
      </c>
      <c r="D417" s="52">
        <v>307.50360000000001</v>
      </c>
      <c r="E417" s="52">
        <v>307.50360000000001</v>
      </c>
      <c r="F417" s="52">
        <v>1230.0143</v>
      </c>
      <c r="G417" s="52">
        <v>615.00710000000004</v>
      </c>
      <c r="H417" s="52">
        <v>615.00710000000004</v>
      </c>
      <c r="I417" s="52">
        <v>1230.0143</v>
      </c>
      <c r="J417" s="52">
        <v>376.08229999999998</v>
      </c>
      <c r="K417" s="52">
        <v>1128.2470000000001</v>
      </c>
      <c r="L417" s="52">
        <v>376.08229999999998</v>
      </c>
      <c r="M417" s="52">
        <v>376.08229999999998</v>
      </c>
      <c r="N417" s="5" t="s">
        <v>69</v>
      </c>
    </row>
    <row r="418" spans="1:14" x14ac:dyDescent="0.25">
      <c r="A418" s="51">
        <v>1.2070000000000001</v>
      </c>
      <c r="B418" s="52">
        <v>7180.6306999999997</v>
      </c>
      <c r="C418" s="52">
        <v>615.51710000000003</v>
      </c>
      <c r="D418" s="52">
        <v>307.75850000000003</v>
      </c>
      <c r="E418" s="52">
        <v>307.75850000000003</v>
      </c>
      <c r="F418" s="52">
        <v>1231.0342000000001</v>
      </c>
      <c r="G418" s="52">
        <v>615.51710000000003</v>
      </c>
      <c r="H418" s="52">
        <v>615.51710000000003</v>
      </c>
      <c r="I418" s="52">
        <v>1231.0342000000001</v>
      </c>
      <c r="J418" s="52">
        <v>376.08229999999998</v>
      </c>
      <c r="K418" s="52">
        <v>1128.2470000000001</v>
      </c>
      <c r="L418" s="52">
        <v>376.08229999999998</v>
      </c>
      <c r="M418" s="52">
        <v>376.08229999999998</v>
      </c>
      <c r="N418" s="5" t="s">
        <v>69</v>
      </c>
    </row>
    <row r="419" spans="1:14" x14ac:dyDescent="0.25">
      <c r="A419" s="51">
        <v>1.208</v>
      </c>
      <c r="B419" s="52">
        <v>7184.7103999999999</v>
      </c>
      <c r="C419" s="52">
        <v>616.02700000000004</v>
      </c>
      <c r="D419" s="52">
        <v>308.01350000000002</v>
      </c>
      <c r="E419" s="52">
        <v>308.01350000000002</v>
      </c>
      <c r="F419" s="52">
        <v>1232.0541000000001</v>
      </c>
      <c r="G419" s="52">
        <v>616.02700000000004</v>
      </c>
      <c r="H419" s="52">
        <v>616.02700000000004</v>
      </c>
      <c r="I419" s="52">
        <v>1232.0541000000001</v>
      </c>
      <c r="J419" s="52">
        <v>376.08229999999998</v>
      </c>
      <c r="K419" s="52">
        <v>1128.2470000000001</v>
      </c>
      <c r="L419" s="52">
        <v>376.08229999999998</v>
      </c>
      <c r="M419" s="52">
        <v>376.08229999999998</v>
      </c>
      <c r="N419" s="5" t="s">
        <v>69</v>
      </c>
    </row>
    <row r="420" spans="1:14" x14ac:dyDescent="0.25">
      <c r="A420" s="51">
        <v>1.2090000000000001</v>
      </c>
      <c r="B420" s="52">
        <v>7188.79</v>
      </c>
      <c r="C420" s="52">
        <v>616.53700000000003</v>
      </c>
      <c r="D420" s="52">
        <v>308.26850000000002</v>
      </c>
      <c r="E420" s="52">
        <v>308.26850000000002</v>
      </c>
      <c r="F420" s="52">
        <v>1233.0740000000001</v>
      </c>
      <c r="G420" s="52">
        <v>616.53700000000003</v>
      </c>
      <c r="H420" s="52">
        <v>616.53700000000003</v>
      </c>
      <c r="I420" s="52">
        <v>1233.0740000000001</v>
      </c>
      <c r="J420" s="52">
        <v>376.08229999999998</v>
      </c>
      <c r="K420" s="52">
        <v>1128.2470000000001</v>
      </c>
      <c r="L420" s="52">
        <v>376.08229999999998</v>
      </c>
      <c r="M420" s="52">
        <v>376.08229999999998</v>
      </c>
      <c r="N420" s="5" t="s">
        <v>69</v>
      </c>
    </row>
    <row r="421" spans="1:14" x14ac:dyDescent="0.25">
      <c r="A421" s="51">
        <v>1.21</v>
      </c>
      <c r="B421" s="52">
        <v>7192.8697000000002</v>
      </c>
      <c r="C421" s="52">
        <v>617.04700000000003</v>
      </c>
      <c r="D421" s="52">
        <v>308.52350000000001</v>
      </c>
      <c r="E421" s="52">
        <v>308.52350000000001</v>
      </c>
      <c r="F421" s="52">
        <v>1234.0939000000001</v>
      </c>
      <c r="G421" s="52">
        <v>617.04700000000003</v>
      </c>
      <c r="H421" s="52">
        <v>617.04700000000003</v>
      </c>
      <c r="I421" s="52">
        <v>1234.0939000000001</v>
      </c>
      <c r="J421" s="52">
        <v>376.08229999999998</v>
      </c>
      <c r="K421" s="52">
        <v>1128.2470000000001</v>
      </c>
      <c r="L421" s="52">
        <v>376.08229999999998</v>
      </c>
      <c r="M421" s="52">
        <v>376.08229999999998</v>
      </c>
      <c r="N421" s="5" t="s">
        <v>69</v>
      </c>
    </row>
    <row r="422" spans="1:14" x14ac:dyDescent="0.25">
      <c r="A422" s="51">
        <v>1.2110000000000001</v>
      </c>
      <c r="B422" s="52">
        <v>7196.9493000000002</v>
      </c>
      <c r="C422" s="52">
        <v>617.55690000000004</v>
      </c>
      <c r="D422" s="52">
        <v>308.77850000000001</v>
      </c>
      <c r="E422" s="52">
        <v>308.77850000000001</v>
      </c>
      <c r="F422" s="52">
        <v>1235.1138000000001</v>
      </c>
      <c r="G422" s="52">
        <v>617.55690000000004</v>
      </c>
      <c r="H422" s="52">
        <v>617.55690000000004</v>
      </c>
      <c r="I422" s="52">
        <v>1235.1138000000001</v>
      </c>
      <c r="J422" s="52">
        <v>376.08229999999998</v>
      </c>
      <c r="K422" s="52">
        <v>1128.2470000000001</v>
      </c>
      <c r="L422" s="52">
        <v>376.08229999999998</v>
      </c>
      <c r="M422" s="52">
        <v>376.08229999999998</v>
      </c>
      <c r="N422" s="5" t="s">
        <v>69</v>
      </c>
    </row>
    <row r="423" spans="1:14" x14ac:dyDescent="0.25">
      <c r="A423" s="51">
        <v>1.212</v>
      </c>
      <c r="B423" s="52">
        <v>7201.0290000000005</v>
      </c>
      <c r="C423" s="52">
        <v>618.06690000000003</v>
      </c>
      <c r="D423" s="52">
        <v>309.03339999999997</v>
      </c>
      <c r="E423" s="52">
        <v>309.03339999999997</v>
      </c>
      <c r="F423" s="52">
        <v>1236.1337000000001</v>
      </c>
      <c r="G423" s="52">
        <v>618.06690000000003</v>
      </c>
      <c r="H423" s="52">
        <v>618.06690000000003</v>
      </c>
      <c r="I423" s="52">
        <v>1236.1337000000001</v>
      </c>
      <c r="J423" s="52">
        <v>376.08229999999998</v>
      </c>
      <c r="K423" s="52">
        <v>1128.2470000000001</v>
      </c>
      <c r="L423" s="52">
        <v>376.08229999999998</v>
      </c>
      <c r="M423" s="52">
        <v>376.08229999999998</v>
      </c>
      <c r="N423" s="5" t="s">
        <v>69</v>
      </c>
    </row>
    <row r="424" spans="1:14" x14ac:dyDescent="0.25">
      <c r="A424" s="51">
        <v>1.2130000000000001</v>
      </c>
      <c r="B424" s="52">
        <v>7205.1085999999996</v>
      </c>
      <c r="C424" s="52">
        <v>618.57680000000005</v>
      </c>
      <c r="D424" s="52">
        <v>309.28840000000002</v>
      </c>
      <c r="E424" s="52">
        <v>309.28840000000002</v>
      </c>
      <c r="F424" s="52">
        <v>1237.1537000000001</v>
      </c>
      <c r="G424" s="52">
        <v>618.57680000000005</v>
      </c>
      <c r="H424" s="52">
        <v>618.57680000000005</v>
      </c>
      <c r="I424" s="52">
        <v>1237.1537000000001</v>
      </c>
      <c r="J424" s="52">
        <v>376.08229999999998</v>
      </c>
      <c r="K424" s="52">
        <v>1128.2470000000001</v>
      </c>
      <c r="L424" s="52">
        <v>376.08229999999998</v>
      </c>
      <c r="M424" s="52">
        <v>376.08229999999998</v>
      </c>
      <c r="N424" s="5" t="s">
        <v>69</v>
      </c>
    </row>
    <row r="425" spans="1:14" x14ac:dyDescent="0.25">
      <c r="A425" s="51">
        <v>1.214</v>
      </c>
      <c r="B425" s="52">
        <v>7209.1882999999998</v>
      </c>
      <c r="C425" s="52">
        <v>619.08680000000004</v>
      </c>
      <c r="D425" s="52">
        <v>309.54340000000002</v>
      </c>
      <c r="E425" s="52">
        <v>309.54340000000002</v>
      </c>
      <c r="F425" s="52">
        <v>1238.1736000000001</v>
      </c>
      <c r="G425" s="52">
        <v>619.08680000000004</v>
      </c>
      <c r="H425" s="52">
        <v>619.08680000000004</v>
      </c>
      <c r="I425" s="52">
        <v>1238.1736000000001</v>
      </c>
      <c r="J425" s="52">
        <v>376.08229999999998</v>
      </c>
      <c r="K425" s="52">
        <v>1128.2470000000001</v>
      </c>
      <c r="L425" s="52">
        <v>376.08229999999998</v>
      </c>
      <c r="M425" s="52">
        <v>376.08229999999998</v>
      </c>
      <c r="N425" s="5" t="s">
        <v>69</v>
      </c>
    </row>
    <row r="426" spans="1:14" x14ac:dyDescent="0.25">
      <c r="A426" s="51">
        <v>1.2150000000000001</v>
      </c>
      <c r="B426" s="52">
        <v>7213.2678999999998</v>
      </c>
      <c r="C426" s="52">
        <v>619.59670000000006</v>
      </c>
      <c r="D426" s="52">
        <v>309.79840000000002</v>
      </c>
      <c r="E426" s="52">
        <v>309.79840000000002</v>
      </c>
      <c r="F426" s="52">
        <v>1239.1935000000001</v>
      </c>
      <c r="G426" s="52">
        <v>619.59670000000006</v>
      </c>
      <c r="H426" s="52">
        <v>619.59670000000006</v>
      </c>
      <c r="I426" s="52">
        <v>1239.1935000000001</v>
      </c>
      <c r="J426" s="52">
        <v>376.08229999999998</v>
      </c>
      <c r="K426" s="52">
        <v>1128.2470000000001</v>
      </c>
      <c r="L426" s="52">
        <v>376.08229999999998</v>
      </c>
      <c r="M426" s="52">
        <v>376.08229999999998</v>
      </c>
      <c r="N426" s="5" t="s">
        <v>69</v>
      </c>
    </row>
    <row r="427" spans="1:14" x14ac:dyDescent="0.25">
      <c r="A427" s="51">
        <v>1.216</v>
      </c>
      <c r="B427" s="52">
        <v>7217.3476000000001</v>
      </c>
      <c r="C427" s="52">
        <v>620.10670000000005</v>
      </c>
      <c r="D427" s="52">
        <v>310.05329999999998</v>
      </c>
      <c r="E427" s="52">
        <v>310.05329999999998</v>
      </c>
      <c r="F427" s="52">
        <v>1240.2134000000001</v>
      </c>
      <c r="G427" s="52">
        <v>620.10670000000005</v>
      </c>
      <c r="H427" s="52">
        <v>620.10670000000005</v>
      </c>
      <c r="I427" s="52">
        <v>1240.2134000000001</v>
      </c>
      <c r="J427" s="52">
        <v>376.08229999999998</v>
      </c>
      <c r="K427" s="52">
        <v>1128.2470000000001</v>
      </c>
      <c r="L427" s="52">
        <v>376.08229999999998</v>
      </c>
      <c r="M427" s="52">
        <v>376.08229999999998</v>
      </c>
      <c r="N427" s="5" t="s">
        <v>69</v>
      </c>
    </row>
    <row r="428" spans="1:14" x14ac:dyDescent="0.25">
      <c r="A428" s="51">
        <v>1.2170000000000001</v>
      </c>
      <c r="B428" s="52">
        <v>7221.4272000000001</v>
      </c>
      <c r="C428" s="52">
        <v>620.61670000000004</v>
      </c>
      <c r="D428" s="52">
        <v>310.30829999999997</v>
      </c>
      <c r="E428" s="52">
        <v>310.30829999999997</v>
      </c>
      <c r="F428" s="52">
        <v>1241.2333000000001</v>
      </c>
      <c r="G428" s="52">
        <v>620.61670000000004</v>
      </c>
      <c r="H428" s="52">
        <v>620.61670000000004</v>
      </c>
      <c r="I428" s="52">
        <v>1241.2333000000001</v>
      </c>
      <c r="J428" s="52">
        <v>376.08229999999998</v>
      </c>
      <c r="K428" s="52">
        <v>1128.2470000000001</v>
      </c>
      <c r="L428" s="52">
        <v>376.08229999999998</v>
      </c>
      <c r="M428" s="52">
        <v>376.08229999999998</v>
      </c>
      <c r="N428" s="5" t="s">
        <v>69</v>
      </c>
    </row>
    <row r="429" spans="1:14" x14ac:dyDescent="0.25">
      <c r="A429" s="51">
        <v>1.218</v>
      </c>
      <c r="B429" s="52">
        <v>7225.5069000000003</v>
      </c>
      <c r="C429" s="52">
        <v>621.12660000000005</v>
      </c>
      <c r="D429" s="52">
        <v>310.56330000000003</v>
      </c>
      <c r="E429" s="52">
        <v>310.56330000000003</v>
      </c>
      <c r="F429" s="52">
        <v>1242.2532000000001</v>
      </c>
      <c r="G429" s="52">
        <v>621.12660000000005</v>
      </c>
      <c r="H429" s="52">
        <v>621.12660000000005</v>
      </c>
      <c r="I429" s="52">
        <v>1242.2532000000001</v>
      </c>
      <c r="J429" s="52">
        <v>376.08229999999998</v>
      </c>
      <c r="K429" s="52">
        <v>1128.2470000000001</v>
      </c>
      <c r="L429" s="52">
        <v>376.08229999999998</v>
      </c>
      <c r="M429" s="52">
        <v>376.08229999999998</v>
      </c>
      <c r="N429" s="5" t="s">
        <v>69</v>
      </c>
    </row>
    <row r="430" spans="1:14" x14ac:dyDescent="0.25">
      <c r="A430" s="51">
        <v>1.2190000000000001</v>
      </c>
      <c r="B430" s="52">
        <v>7229.5865000000003</v>
      </c>
      <c r="C430" s="52">
        <v>621.63660000000004</v>
      </c>
      <c r="D430" s="52">
        <v>310.81830000000002</v>
      </c>
      <c r="E430" s="52">
        <v>310.81830000000002</v>
      </c>
      <c r="F430" s="52">
        <v>1243.2731000000001</v>
      </c>
      <c r="G430" s="52">
        <v>621.63660000000004</v>
      </c>
      <c r="H430" s="52">
        <v>621.63660000000004</v>
      </c>
      <c r="I430" s="52">
        <v>1243.2731000000001</v>
      </c>
      <c r="J430" s="52">
        <v>376.08229999999998</v>
      </c>
      <c r="K430" s="52">
        <v>1128.2470000000001</v>
      </c>
      <c r="L430" s="52">
        <v>376.08229999999998</v>
      </c>
      <c r="M430" s="52">
        <v>376.08229999999998</v>
      </c>
      <c r="N430" s="5" t="s">
        <v>69</v>
      </c>
    </row>
    <row r="431" spans="1:14" x14ac:dyDescent="0.25">
      <c r="A431" s="51">
        <v>1.22</v>
      </c>
      <c r="B431" s="52">
        <v>7233.6661999999997</v>
      </c>
      <c r="C431" s="52">
        <v>622.14649999999995</v>
      </c>
      <c r="D431" s="52">
        <v>311.07330000000002</v>
      </c>
      <c r="E431" s="52">
        <v>311.07330000000002</v>
      </c>
      <c r="F431" s="52">
        <v>1244.2929999999999</v>
      </c>
      <c r="G431" s="52">
        <v>622.14649999999995</v>
      </c>
      <c r="H431" s="52">
        <v>622.14649999999995</v>
      </c>
      <c r="I431" s="52">
        <v>1244.2929999999999</v>
      </c>
      <c r="J431" s="52">
        <v>376.08229999999998</v>
      </c>
      <c r="K431" s="52">
        <v>1128.2470000000001</v>
      </c>
      <c r="L431" s="52">
        <v>376.08229999999998</v>
      </c>
      <c r="M431" s="52">
        <v>376.08229999999998</v>
      </c>
      <c r="N431" s="5" t="s">
        <v>69</v>
      </c>
    </row>
    <row r="432" spans="1:14" x14ac:dyDescent="0.25">
      <c r="A432" s="51">
        <v>1.2210000000000001</v>
      </c>
      <c r="B432" s="52">
        <v>7237.7457999999997</v>
      </c>
      <c r="C432" s="52">
        <v>622.65650000000005</v>
      </c>
      <c r="D432" s="52">
        <v>311.32819999999998</v>
      </c>
      <c r="E432" s="52">
        <v>311.32819999999998</v>
      </c>
      <c r="F432" s="52">
        <v>1245.3130000000001</v>
      </c>
      <c r="G432" s="52">
        <v>622.65650000000005</v>
      </c>
      <c r="H432" s="52">
        <v>622.65650000000005</v>
      </c>
      <c r="I432" s="52">
        <v>1245.3130000000001</v>
      </c>
      <c r="J432" s="52">
        <v>376.08229999999998</v>
      </c>
      <c r="K432" s="52">
        <v>1128.2470000000001</v>
      </c>
      <c r="L432" s="52">
        <v>376.08229999999998</v>
      </c>
      <c r="M432" s="52">
        <v>376.08229999999998</v>
      </c>
      <c r="N432" s="5" t="s">
        <v>69</v>
      </c>
    </row>
    <row r="433" spans="1:14" x14ac:dyDescent="0.25">
      <c r="A433" s="51">
        <v>1.222</v>
      </c>
      <c r="B433" s="52">
        <v>7241.8254999999999</v>
      </c>
      <c r="C433" s="52">
        <v>623.16639999999995</v>
      </c>
      <c r="D433" s="52">
        <v>311.58319999999998</v>
      </c>
      <c r="E433" s="52">
        <v>311.58319999999998</v>
      </c>
      <c r="F433" s="52">
        <v>1246.3329000000001</v>
      </c>
      <c r="G433" s="52">
        <v>623.16639999999995</v>
      </c>
      <c r="H433" s="52">
        <v>623.16639999999995</v>
      </c>
      <c r="I433" s="52">
        <v>1246.3329000000001</v>
      </c>
      <c r="J433" s="52">
        <v>376.08229999999998</v>
      </c>
      <c r="K433" s="52">
        <v>1128.2470000000001</v>
      </c>
      <c r="L433" s="52">
        <v>376.08229999999998</v>
      </c>
      <c r="M433" s="52">
        <v>376.08229999999998</v>
      </c>
      <c r="N433" s="5" t="s">
        <v>69</v>
      </c>
    </row>
    <row r="434" spans="1:14" x14ac:dyDescent="0.25">
      <c r="A434" s="51">
        <v>1.2230000000000001</v>
      </c>
      <c r="B434" s="52">
        <v>7245.9050999999999</v>
      </c>
      <c r="C434" s="52">
        <v>623.67639999999994</v>
      </c>
      <c r="D434" s="52">
        <v>311.83819999999997</v>
      </c>
      <c r="E434" s="52">
        <v>311.83819999999997</v>
      </c>
      <c r="F434" s="52">
        <v>1247.3527999999999</v>
      </c>
      <c r="G434" s="52">
        <v>623.67639999999994</v>
      </c>
      <c r="H434" s="52">
        <v>623.67639999999994</v>
      </c>
      <c r="I434" s="52">
        <v>1247.3527999999999</v>
      </c>
      <c r="J434" s="52">
        <v>376.08229999999998</v>
      </c>
      <c r="K434" s="52">
        <v>1128.2470000000001</v>
      </c>
      <c r="L434" s="52">
        <v>376.08229999999998</v>
      </c>
      <c r="M434" s="52">
        <v>376.08229999999998</v>
      </c>
      <c r="N434" s="5" t="s">
        <v>69</v>
      </c>
    </row>
    <row r="435" spans="1:14" x14ac:dyDescent="0.25">
      <c r="A435" s="51">
        <v>1.224</v>
      </c>
      <c r="B435" s="52">
        <v>7249.9848000000002</v>
      </c>
      <c r="C435" s="52">
        <v>624.18629999999996</v>
      </c>
      <c r="D435" s="52">
        <v>312.09320000000002</v>
      </c>
      <c r="E435" s="52">
        <v>312.09320000000002</v>
      </c>
      <c r="F435" s="52">
        <v>1248.3726999999999</v>
      </c>
      <c r="G435" s="52">
        <v>624.18629999999996</v>
      </c>
      <c r="H435" s="52">
        <v>624.18629999999996</v>
      </c>
      <c r="I435" s="52">
        <v>1248.3726999999999</v>
      </c>
      <c r="J435" s="52">
        <v>376.08229999999998</v>
      </c>
      <c r="K435" s="52">
        <v>1128.2470000000001</v>
      </c>
      <c r="L435" s="52">
        <v>376.08229999999998</v>
      </c>
      <c r="M435" s="52">
        <v>376.08229999999998</v>
      </c>
      <c r="N435" s="5" t="s">
        <v>69</v>
      </c>
    </row>
    <row r="436" spans="1:14" x14ac:dyDescent="0.25">
      <c r="A436" s="51">
        <v>1.2250000000000001</v>
      </c>
      <c r="B436" s="52">
        <v>7254.0644000000002</v>
      </c>
      <c r="C436" s="52">
        <v>624.69629999999995</v>
      </c>
      <c r="D436" s="52">
        <v>312.34820000000002</v>
      </c>
      <c r="E436" s="52">
        <v>312.34820000000002</v>
      </c>
      <c r="F436" s="52">
        <v>1249.3925999999999</v>
      </c>
      <c r="G436" s="52">
        <v>624.69629999999995</v>
      </c>
      <c r="H436" s="52">
        <v>624.69629999999995</v>
      </c>
      <c r="I436" s="52">
        <v>1249.3925999999999</v>
      </c>
      <c r="J436" s="52">
        <v>376.08229999999998</v>
      </c>
      <c r="K436" s="52">
        <v>1128.2470000000001</v>
      </c>
      <c r="L436" s="52">
        <v>376.08229999999998</v>
      </c>
      <c r="M436" s="52">
        <v>376.08229999999998</v>
      </c>
      <c r="N436" s="5" t="s">
        <v>69</v>
      </c>
    </row>
    <row r="437" spans="1:14" x14ac:dyDescent="0.25">
      <c r="A437" s="51">
        <v>1.226</v>
      </c>
      <c r="B437" s="52">
        <v>7258.1441000000004</v>
      </c>
      <c r="C437" s="52">
        <v>625.20630000000006</v>
      </c>
      <c r="D437" s="52">
        <v>312.60309999999998</v>
      </c>
      <c r="E437" s="52">
        <v>312.60309999999998</v>
      </c>
      <c r="F437" s="52">
        <v>1250.4124999999999</v>
      </c>
      <c r="G437" s="52">
        <v>625.20630000000006</v>
      </c>
      <c r="H437" s="52">
        <v>625.20630000000006</v>
      </c>
      <c r="I437" s="52">
        <v>1250.4124999999999</v>
      </c>
      <c r="J437" s="52">
        <v>376.08229999999998</v>
      </c>
      <c r="K437" s="52">
        <v>1128.2470000000001</v>
      </c>
      <c r="L437" s="52">
        <v>376.08229999999998</v>
      </c>
      <c r="M437" s="52">
        <v>376.08229999999998</v>
      </c>
      <c r="N437" s="5" t="s">
        <v>69</v>
      </c>
    </row>
    <row r="438" spans="1:14" x14ac:dyDescent="0.25">
      <c r="A438" s="51">
        <v>1.2270000000000001</v>
      </c>
      <c r="B438" s="52">
        <v>7262.2236999999996</v>
      </c>
      <c r="C438" s="52">
        <v>625.71619999999996</v>
      </c>
      <c r="D438" s="52">
        <v>312.85809999999998</v>
      </c>
      <c r="E438" s="52">
        <v>312.85809999999998</v>
      </c>
      <c r="F438" s="52">
        <v>1251.4323999999999</v>
      </c>
      <c r="G438" s="52">
        <v>625.71619999999996</v>
      </c>
      <c r="H438" s="52">
        <v>625.71619999999996</v>
      </c>
      <c r="I438" s="52">
        <v>1251.4323999999999</v>
      </c>
      <c r="J438" s="52">
        <v>376.08229999999998</v>
      </c>
      <c r="K438" s="52">
        <v>1128.2470000000001</v>
      </c>
      <c r="L438" s="52">
        <v>376.08229999999998</v>
      </c>
      <c r="M438" s="52">
        <v>376.08229999999998</v>
      </c>
      <c r="N438" s="5" t="s">
        <v>69</v>
      </c>
    </row>
    <row r="439" spans="1:14" x14ac:dyDescent="0.25">
      <c r="A439" s="51">
        <v>1.228</v>
      </c>
      <c r="B439" s="52">
        <v>7266.3033999999998</v>
      </c>
      <c r="C439" s="52">
        <v>626.22619999999995</v>
      </c>
      <c r="D439" s="52">
        <v>313.11309999999997</v>
      </c>
      <c r="E439" s="52">
        <v>313.11309999999997</v>
      </c>
      <c r="F439" s="52">
        <v>1252.4522999999999</v>
      </c>
      <c r="G439" s="52">
        <v>626.22619999999995</v>
      </c>
      <c r="H439" s="52">
        <v>626.22619999999995</v>
      </c>
      <c r="I439" s="52">
        <v>1252.4522999999999</v>
      </c>
      <c r="J439" s="52">
        <v>376.08229999999998</v>
      </c>
      <c r="K439" s="52">
        <v>1128.2470000000001</v>
      </c>
      <c r="L439" s="52">
        <v>376.08229999999998</v>
      </c>
      <c r="M439" s="52">
        <v>376.08229999999998</v>
      </c>
      <c r="N439" s="5" t="s">
        <v>69</v>
      </c>
    </row>
    <row r="440" spans="1:14" x14ac:dyDescent="0.25">
      <c r="A440" s="51">
        <v>1.2290000000000001</v>
      </c>
      <c r="B440" s="52">
        <v>7270.3829999999998</v>
      </c>
      <c r="C440" s="52">
        <v>626.73609999999996</v>
      </c>
      <c r="D440" s="52">
        <v>313.36810000000003</v>
      </c>
      <c r="E440" s="52">
        <v>313.36810000000003</v>
      </c>
      <c r="F440" s="52">
        <v>1253.4722999999999</v>
      </c>
      <c r="G440" s="52">
        <v>626.73609999999996</v>
      </c>
      <c r="H440" s="52">
        <v>626.73609999999996</v>
      </c>
      <c r="I440" s="52">
        <v>1253.4722999999999</v>
      </c>
      <c r="J440" s="52">
        <v>376.08229999999998</v>
      </c>
      <c r="K440" s="52">
        <v>1128.2470000000001</v>
      </c>
      <c r="L440" s="52">
        <v>376.08229999999998</v>
      </c>
      <c r="M440" s="52">
        <v>376.08229999999998</v>
      </c>
      <c r="N440" s="5" t="s">
        <v>69</v>
      </c>
    </row>
    <row r="441" spans="1:14" x14ac:dyDescent="0.25">
      <c r="A441" s="51">
        <v>1.23</v>
      </c>
      <c r="B441" s="52">
        <v>7274.4627</v>
      </c>
      <c r="C441" s="52">
        <v>627.24609999999996</v>
      </c>
      <c r="D441" s="52">
        <v>313.62299999999999</v>
      </c>
      <c r="E441" s="52">
        <v>313.62299999999999</v>
      </c>
      <c r="F441" s="52">
        <v>1254.4921999999999</v>
      </c>
      <c r="G441" s="52">
        <v>627.24609999999996</v>
      </c>
      <c r="H441" s="52">
        <v>627.24609999999996</v>
      </c>
      <c r="I441" s="52">
        <v>1254.4921999999999</v>
      </c>
      <c r="J441" s="52">
        <v>376.08229999999998</v>
      </c>
      <c r="K441" s="52">
        <v>1128.2470000000001</v>
      </c>
      <c r="L441" s="52">
        <v>376.08229999999998</v>
      </c>
      <c r="M441" s="52">
        <v>376.08229999999998</v>
      </c>
      <c r="N441" s="5" t="s">
        <v>69</v>
      </c>
    </row>
    <row r="442" spans="1:14" x14ac:dyDescent="0.25">
      <c r="A442" s="51">
        <v>1.2310000000000001</v>
      </c>
      <c r="B442" s="52">
        <v>7278.5423000000001</v>
      </c>
      <c r="C442" s="52">
        <v>627.75599999999997</v>
      </c>
      <c r="D442" s="52">
        <v>313.87799999999999</v>
      </c>
      <c r="E442" s="52">
        <v>313.87799999999999</v>
      </c>
      <c r="F442" s="52">
        <v>1255.5120999999999</v>
      </c>
      <c r="G442" s="52">
        <v>627.75599999999997</v>
      </c>
      <c r="H442" s="52">
        <v>627.75599999999997</v>
      </c>
      <c r="I442" s="52">
        <v>1255.5120999999999</v>
      </c>
      <c r="J442" s="52">
        <v>376.08229999999998</v>
      </c>
      <c r="K442" s="52">
        <v>1128.2470000000001</v>
      </c>
      <c r="L442" s="52">
        <v>376.08229999999998</v>
      </c>
      <c r="M442" s="52">
        <v>376.08229999999998</v>
      </c>
      <c r="N442" s="5" t="s">
        <v>69</v>
      </c>
    </row>
    <row r="443" spans="1:14" x14ac:dyDescent="0.25">
      <c r="A443" s="51">
        <v>1.232</v>
      </c>
      <c r="B443" s="52">
        <v>7282.6220000000003</v>
      </c>
      <c r="C443" s="52">
        <v>628.26599999999996</v>
      </c>
      <c r="D443" s="52">
        <v>314.13299999999998</v>
      </c>
      <c r="E443" s="52">
        <v>314.13299999999998</v>
      </c>
      <c r="F443" s="52">
        <v>1256.5319999999999</v>
      </c>
      <c r="G443" s="52">
        <v>628.26599999999996</v>
      </c>
      <c r="H443" s="52">
        <v>628.26599999999996</v>
      </c>
      <c r="I443" s="52">
        <v>1256.5319999999999</v>
      </c>
      <c r="J443" s="52">
        <v>376.08229999999998</v>
      </c>
      <c r="K443" s="52">
        <v>1128.2470000000001</v>
      </c>
      <c r="L443" s="52">
        <v>376.08229999999998</v>
      </c>
      <c r="M443" s="52">
        <v>376.08229999999998</v>
      </c>
      <c r="N443" s="5" t="s">
        <v>69</v>
      </c>
    </row>
    <row r="444" spans="1:14" x14ac:dyDescent="0.25">
      <c r="A444" s="51">
        <v>1.2330000000000001</v>
      </c>
      <c r="B444" s="52">
        <v>7286.7016000000003</v>
      </c>
      <c r="C444" s="52">
        <v>628.77599999999995</v>
      </c>
      <c r="D444" s="52">
        <v>314.38799999999998</v>
      </c>
      <c r="E444" s="52">
        <v>314.38799999999998</v>
      </c>
      <c r="F444" s="52">
        <v>1257.5518999999999</v>
      </c>
      <c r="G444" s="52">
        <v>628.77599999999995</v>
      </c>
      <c r="H444" s="52">
        <v>628.77599999999995</v>
      </c>
      <c r="I444" s="52">
        <v>1257.5518999999999</v>
      </c>
      <c r="J444" s="52">
        <v>376.08229999999998</v>
      </c>
      <c r="K444" s="52">
        <v>1128.2470000000001</v>
      </c>
      <c r="L444" s="52">
        <v>376.08229999999998</v>
      </c>
      <c r="M444" s="52">
        <v>376.08229999999998</v>
      </c>
      <c r="N444" s="5" t="s">
        <v>69</v>
      </c>
    </row>
    <row r="445" spans="1:14" x14ac:dyDescent="0.25">
      <c r="A445" s="51">
        <v>1.234</v>
      </c>
      <c r="B445" s="52">
        <v>7290.7812000000004</v>
      </c>
      <c r="C445" s="52">
        <v>629.28589999999997</v>
      </c>
      <c r="D445" s="52">
        <v>314.64299999999997</v>
      </c>
      <c r="E445" s="52">
        <v>314.64299999999997</v>
      </c>
      <c r="F445" s="52">
        <v>1258.5717999999999</v>
      </c>
      <c r="G445" s="52">
        <v>629.28589999999997</v>
      </c>
      <c r="H445" s="52">
        <v>629.28589999999997</v>
      </c>
      <c r="I445" s="52">
        <v>1258.5717999999999</v>
      </c>
      <c r="J445" s="52">
        <v>376.08229999999998</v>
      </c>
      <c r="K445" s="52">
        <v>1128.2470000000001</v>
      </c>
      <c r="L445" s="52">
        <v>376.08229999999998</v>
      </c>
      <c r="M445" s="52">
        <v>376.08229999999998</v>
      </c>
      <c r="N445" s="5" t="s">
        <v>69</v>
      </c>
    </row>
    <row r="446" spans="1:14" x14ac:dyDescent="0.25">
      <c r="A446" s="51">
        <v>1.2350000000000001</v>
      </c>
      <c r="B446" s="52">
        <v>7294.8608999999997</v>
      </c>
      <c r="C446" s="52">
        <v>629.79589999999996</v>
      </c>
      <c r="D446" s="52">
        <v>314.89789999999999</v>
      </c>
      <c r="E446" s="52">
        <v>314.89789999999999</v>
      </c>
      <c r="F446" s="52">
        <v>1259.5916999999999</v>
      </c>
      <c r="G446" s="52">
        <v>629.79589999999996</v>
      </c>
      <c r="H446" s="52">
        <v>629.79589999999996</v>
      </c>
      <c r="I446" s="52">
        <v>1259.5916999999999</v>
      </c>
      <c r="J446" s="52">
        <v>376.08229999999998</v>
      </c>
      <c r="K446" s="52">
        <v>1128.2470000000001</v>
      </c>
      <c r="L446" s="52">
        <v>376.08229999999998</v>
      </c>
      <c r="M446" s="52">
        <v>376.08229999999998</v>
      </c>
      <c r="N446" s="5" t="s">
        <v>69</v>
      </c>
    </row>
    <row r="447" spans="1:14" x14ac:dyDescent="0.25">
      <c r="A447" s="51">
        <v>1.236</v>
      </c>
      <c r="B447" s="52">
        <v>7298.9404999999997</v>
      </c>
      <c r="C447" s="52">
        <v>630.30579999999998</v>
      </c>
      <c r="D447" s="52">
        <v>315.15289999999999</v>
      </c>
      <c r="E447" s="52">
        <v>315.15289999999999</v>
      </c>
      <c r="F447" s="52">
        <v>1260.6116</v>
      </c>
      <c r="G447" s="52">
        <v>630.30579999999998</v>
      </c>
      <c r="H447" s="52">
        <v>630.30579999999998</v>
      </c>
      <c r="I447" s="52">
        <v>1260.6116</v>
      </c>
      <c r="J447" s="52">
        <v>376.08229999999998</v>
      </c>
      <c r="K447" s="52">
        <v>1128.2470000000001</v>
      </c>
      <c r="L447" s="52">
        <v>376.08229999999998</v>
      </c>
      <c r="M447" s="52">
        <v>376.08229999999998</v>
      </c>
      <c r="N447" s="5" t="s">
        <v>69</v>
      </c>
    </row>
    <row r="448" spans="1:14" x14ac:dyDescent="0.25">
      <c r="A448" s="51">
        <v>1.2370000000000001</v>
      </c>
      <c r="B448" s="52">
        <v>7303.0201999999999</v>
      </c>
      <c r="C448" s="52">
        <v>630.81579999999997</v>
      </c>
      <c r="D448" s="52">
        <v>315.40789999999998</v>
      </c>
      <c r="E448" s="52">
        <v>315.40789999999998</v>
      </c>
      <c r="F448" s="52">
        <v>1261.6315999999999</v>
      </c>
      <c r="G448" s="52">
        <v>630.81579999999997</v>
      </c>
      <c r="H448" s="52">
        <v>630.81579999999997</v>
      </c>
      <c r="I448" s="52">
        <v>1261.6315999999999</v>
      </c>
      <c r="J448" s="52">
        <v>376.08229999999998</v>
      </c>
      <c r="K448" s="52">
        <v>1128.2470000000001</v>
      </c>
      <c r="L448" s="52">
        <v>376.08229999999998</v>
      </c>
      <c r="M448" s="52">
        <v>376.08229999999998</v>
      </c>
      <c r="N448" s="5" t="s">
        <v>69</v>
      </c>
    </row>
    <row r="449" spans="1:14" x14ac:dyDescent="0.25">
      <c r="A449" s="51">
        <v>1.238</v>
      </c>
      <c r="B449" s="52">
        <v>7307.0998</v>
      </c>
      <c r="C449" s="52">
        <v>631.32569999999998</v>
      </c>
      <c r="D449" s="52">
        <v>315.66289999999998</v>
      </c>
      <c r="E449" s="52">
        <v>315.66289999999998</v>
      </c>
      <c r="F449" s="52">
        <v>1262.6514999999999</v>
      </c>
      <c r="G449" s="52">
        <v>631.32569999999998</v>
      </c>
      <c r="H449" s="52">
        <v>631.32569999999998</v>
      </c>
      <c r="I449" s="52">
        <v>1262.6514999999999</v>
      </c>
      <c r="J449" s="52">
        <v>376.08229999999998</v>
      </c>
      <c r="K449" s="52">
        <v>1128.2470000000001</v>
      </c>
      <c r="L449" s="52">
        <v>376.08229999999998</v>
      </c>
      <c r="M449" s="52">
        <v>376.08229999999998</v>
      </c>
      <c r="N449" s="5" t="s">
        <v>69</v>
      </c>
    </row>
    <row r="450" spans="1:14" x14ac:dyDescent="0.25">
      <c r="A450" s="51">
        <v>1.2390000000000001</v>
      </c>
      <c r="B450" s="52">
        <v>7311.1795000000002</v>
      </c>
      <c r="C450" s="52">
        <v>631.83569999999997</v>
      </c>
      <c r="D450" s="52">
        <v>315.9178</v>
      </c>
      <c r="E450" s="52">
        <v>315.9178</v>
      </c>
      <c r="F450" s="52">
        <v>1263.6713999999999</v>
      </c>
      <c r="G450" s="52">
        <v>631.83569999999997</v>
      </c>
      <c r="H450" s="52">
        <v>631.83569999999997</v>
      </c>
      <c r="I450" s="52">
        <v>1263.6713999999999</v>
      </c>
      <c r="J450" s="52">
        <v>376.08229999999998</v>
      </c>
      <c r="K450" s="52">
        <v>1128.2470000000001</v>
      </c>
      <c r="L450" s="52">
        <v>376.08229999999998</v>
      </c>
      <c r="M450" s="52">
        <v>376.08229999999998</v>
      </c>
      <c r="N450" s="5" t="s">
        <v>69</v>
      </c>
    </row>
    <row r="451" spans="1:14" x14ac:dyDescent="0.25">
      <c r="A451" s="51">
        <v>1.24</v>
      </c>
      <c r="B451" s="52">
        <v>7315.2591000000002</v>
      </c>
      <c r="C451" s="52">
        <v>632.34559999999999</v>
      </c>
      <c r="D451" s="52">
        <v>316.1728</v>
      </c>
      <c r="E451" s="52">
        <v>316.1728</v>
      </c>
      <c r="F451" s="52">
        <v>1264.6913</v>
      </c>
      <c r="G451" s="52">
        <v>632.34559999999999</v>
      </c>
      <c r="H451" s="52">
        <v>632.34559999999999</v>
      </c>
      <c r="I451" s="52">
        <v>1264.6913</v>
      </c>
      <c r="J451" s="52">
        <v>376.08229999999998</v>
      </c>
      <c r="K451" s="52">
        <v>1128.2470000000001</v>
      </c>
      <c r="L451" s="52">
        <v>376.08229999999998</v>
      </c>
      <c r="M451" s="52">
        <v>376.08229999999998</v>
      </c>
      <c r="N451" s="5" t="s">
        <v>69</v>
      </c>
    </row>
    <row r="452" spans="1:14" x14ac:dyDescent="0.25">
      <c r="A452" s="51">
        <v>1.2410000000000001</v>
      </c>
      <c r="B452" s="52">
        <v>7319.3388000000004</v>
      </c>
      <c r="C452" s="52">
        <v>632.85559999999998</v>
      </c>
      <c r="D452" s="52">
        <v>316.42779999999999</v>
      </c>
      <c r="E452" s="52">
        <v>316.42779999999999</v>
      </c>
      <c r="F452" s="52">
        <v>1265.7112</v>
      </c>
      <c r="G452" s="52">
        <v>632.85559999999998</v>
      </c>
      <c r="H452" s="52">
        <v>632.85559999999998</v>
      </c>
      <c r="I452" s="52">
        <v>1265.7112</v>
      </c>
      <c r="J452" s="52">
        <v>376.08229999999998</v>
      </c>
      <c r="K452" s="52">
        <v>1128.2470000000001</v>
      </c>
      <c r="L452" s="52">
        <v>376.08229999999998</v>
      </c>
      <c r="M452" s="52">
        <v>376.08229999999998</v>
      </c>
      <c r="N452" s="5" t="s">
        <v>69</v>
      </c>
    </row>
    <row r="453" spans="1:14" x14ac:dyDescent="0.25">
      <c r="A453" s="51">
        <v>1.242</v>
      </c>
      <c r="B453" s="52">
        <v>7323.4183999999996</v>
      </c>
      <c r="C453" s="52">
        <v>633.36559999999997</v>
      </c>
      <c r="D453" s="52">
        <v>316.68279999999999</v>
      </c>
      <c r="E453" s="52">
        <v>316.68279999999999</v>
      </c>
      <c r="F453" s="52">
        <v>1266.7311</v>
      </c>
      <c r="G453" s="52">
        <v>633.36559999999997</v>
      </c>
      <c r="H453" s="52">
        <v>633.36559999999997</v>
      </c>
      <c r="I453" s="52">
        <v>1266.7311</v>
      </c>
      <c r="J453" s="52">
        <v>376.08229999999998</v>
      </c>
      <c r="K453" s="52">
        <v>1128.2470000000001</v>
      </c>
      <c r="L453" s="52">
        <v>376.08229999999998</v>
      </c>
      <c r="M453" s="52">
        <v>376.08229999999998</v>
      </c>
      <c r="N453" s="5" t="s">
        <v>69</v>
      </c>
    </row>
    <row r="454" spans="1:14" x14ac:dyDescent="0.25">
      <c r="A454" s="51">
        <v>1.2430000000000001</v>
      </c>
      <c r="B454" s="52">
        <v>7327.4980999999998</v>
      </c>
      <c r="C454" s="52">
        <v>633.87549999999999</v>
      </c>
      <c r="D454" s="52">
        <v>316.93779999999998</v>
      </c>
      <c r="E454" s="52">
        <v>316.93779999999998</v>
      </c>
      <c r="F454" s="52">
        <v>1267.751</v>
      </c>
      <c r="G454" s="52">
        <v>633.87549999999999</v>
      </c>
      <c r="H454" s="52">
        <v>633.87549999999999</v>
      </c>
      <c r="I454" s="52">
        <v>1267.751</v>
      </c>
      <c r="J454" s="52">
        <v>376.08229999999998</v>
      </c>
      <c r="K454" s="52">
        <v>1128.2470000000001</v>
      </c>
      <c r="L454" s="52">
        <v>376.08229999999998</v>
      </c>
      <c r="M454" s="52">
        <v>376.08229999999998</v>
      </c>
      <c r="N454" s="5" t="s">
        <v>69</v>
      </c>
    </row>
    <row r="455" spans="1:14" x14ac:dyDescent="0.25">
      <c r="A455" s="51">
        <v>1.244</v>
      </c>
      <c r="B455" s="52">
        <v>7331.5776999999998</v>
      </c>
      <c r="C455" s="52">
        <v>634.38549999999998</v>
      </c>
      <c r="D455" s="52">
        <v>317.1927</v>
      </c>
      <c r="E455" s="52">
        <v>317.1927</v>
      </c>
      <c r="F455" s="52">
        <v>1268.7709</v>
      </c>
      <c r="G455" s="52">
        <v>634.38549999999998</v>
      </c>
      <c r="H455" s="52">
        <v>634.38549999999998</v>
      </c>
      <c r="I455" s="52">
        <v>1268.7709</v>
      </c>
      <c r="J455" s="52">
        <v>376.08229999999998</v>
      </c>
      <c r="K455" s="52">
        <v>1128.2470000000001</v>
      </c>
      <c r="L455" s="52">
        <v>376.08229999999998</v>
      </c>
      <c r="M455" s="52">
        <v>376.08229999999998</v>
      </c>
      <c r="N455" s="5" t="s">
        <v>69</v>
      </c>
    </row>
    <row r="456" spans="1:14" x14ac:dyDescent="0.25">
      <c r="A456" s="51">
        <v>1.2450000000000001</v>
      </c>
      <c r="B456" s="52">
        <v>7335.6574000000001</v>
      </c>
      <c r="C456" s="52">
        <v>634.8954</v>
      </c>
      <c r="D456" s="52">
        <v>317.4477</v>
      </c>
      <c r="E456" s="52">
        <v>317.4477</v>
      </c>
      <c r="F456" s="52">
        <v>1269.7908</v>
      </c>
      <c r="G456" s="52">
        <v>634.8954</v>
      </c>
      <c r="H456" s="52">
        <v>634.8954</v>
      </c>
      <c r="I456" s="52">
        <v>1269.7908</v>
      </c>
      <c r="J456" s="52">
        <v>376.08229999999998</v>
      </c>
      <c r="K456" s="52">
        <v>1128.2470000000001</v>
      </c>
      <c r="L456" s="52">
        <v>376.08229999999998</v>
      </c>
      <c r="M456" s="52">
        <v>376.08229999999998</v>
      </c>
      <c r="N456" s="5" t="s">
        <v>69</v>
      </c>
    </row>
    <row r="457" spans="1:14" x14ac:dyDescent="0.25">
      <c r="A457" s="51">
        <v>1.246</v>
      </c>
      <c r="B457" s="52">
        <v>7339.7370000000001</v>
      </c>
      <c r="C457" s="52">
        <v>635.40539999999999</v>
      </c>
      <c r="D457" s="52">
        <v>317.70269999999999</v>
      </c>
      <c r="E457" s="52">
        <v>317.70269999999999</v>
      </c>
      <c r="F457" s="52">
        <v>1270.8108</v>
      </c>
      <c r="G457" s="52">
        <v>635.40539999999999</v>
      </c>
      <c r="H457" s="52">
        <v>635.40539999999999</v>
      </c>
      <c r="I457" s="52">
        <v>1270.8108</v>
      </c>
      <c r="J457" s="52">
        <v>376.08229999999998</v>
      </c>
      <c r="K457" s="52">
        <v>1128.2470000000001</v>
      </c>
      <c r="L457" s="52">
        <v>376.08229999999998</v>
      </c>
      <c r="M457" s="52">
        <v>376.08229999999998</v>
      </c>
      <c r="N457" s="5" t="s">
        <v>69</v>
      </c>
    </row>
    <row r="458" spans="1:14" x14ac:dyDescent="0.25">
      <c r="A458" s="51">
        <v>1.2470000000000001</v>
      </c>
      <c r="B458" s="52">
        <v>7343.8167000000003</v>
      </c>
      <c r="C458" s="52">
        <v>635.9153</v>
      </c>
      <c r="D458" s="52">
        <v>317.95769999999999</v>
      </c>
      <c r="E458" s="52">
        <v>317.95769999999999</v>
      </c>
      <c r="F458" s="52">
        <v>1271.8307</v>
      </c>
      <c r="G458" s="52">
        <v>635.9153</v>
      </c>
      <c r="H458" s="52">
        <v>635.9153</v>
      </c>
      <c r="I458" s="52">
        <v>1271.8307</v>
      </c>
      <c r="J458" s="52">
        <v>376.08229999999998</v>
      </c>
      <c r="K458" s="52">
        <v>1128.2470000000001</v>
      </c>
      <c r="L458" s="52">
        <v>376.08229999999998</v>
      </c>
      <c r="M458" s="52">
        <v>376.08229999999998</v>
      </c>
      <c r="N458" s="5" t="s">
        <v>69</v>
      </c>
    </row>
    <row r="459" spans="1:14" x14ac:dyDescent="0.25">
      <c r="A459" s="51">
        <v>1.248</v>
      </c>
      <c r="B459" s="52">
        <v>7347.8963000000003</v>
      </c>
      <c r="C459" s="52">
        <v>636.42529999999999</v>
      </c>
      <c r="D459" s="52">
        <v>318.21260000000001</v>
      </c>
      <c r="E459" s="52">
        <v>318.21260000000001</v>
      </c>
      <c r="F459" s="52">
        <v>1272.8506</v>
      </c>
      <c r="G459" s="52">
        <v>636.42529999999999</v>
      </c>
      <c r="H459" s="52">
        <v>636.42529999999999</v>
      </c>
      <c r="I459" s="52">
        <v>1272.8506</v>
      </c>
      <c r="J459" s="52">
        <v>376.08229999999998</v>
      </c>
      <c r="K459" s="52">
        <v>1128.2470000000001</v>
      </c>
      <c r="L459" s="52">
        <v>376.08229999999998</v>
      </c>
      <c r="M459" s="52">
        <v>376.08229999999998</v>
      </c>
      <c r="N459" s="5" t="s">
        <v>69</v>
      </c>
    </row>
    <row r="460" spans="1:14" x14ac:dyDescent="0.25">
      <c r="A460" s="51">
        <v>1.2490000000000001</v>
      </c>
      <c r="B460" s="52">
        <v>7351.9759999999997</v>
      </c>
      <c r="C460" s="52">
        <v>636.93520000000001</v>
      </c>
      <c r="D460" s="52">
        <v>318.4676</v>
      </c>
      <c r="E460" s="52">
        <v>318.4676</v>
      </c>
      <c r="F460" s="52">
        <v>1273.8705</v>
      </c>
      <c r="G460" s="52">
        <v>636.93520000000001</v>
      </c>
      <c r="H460" s="52">
        <v>636.93520000000001</v>
      </c>
      <c r="I460" s="52">
        <v>1273.8705</v>
      </c>
      <c r="J460" s="52">
        <v>376.08229999999998</v>
      </c>
      <c r="K460" s="52">
        <v>1128.2470000000001</v>
      </c>
      <c r="L460" s="52">
        <v>376.08229999999998</v>
      </c>
      <c r="M460" s="52">
        <v>376.08229999999998</v>
      </c>
      <c r="N460" s="5" t="s">
        <v>69</v>
      </c>
    </row>
    <row r="461" spans="1:14" x14ac:dyDescent="0.25">
      <c r="A461" s="51">
        <v>1.25</v>
      </c>
      <c r="B461" s="52">
        <v>7356.0555999999997</v>
      </c>
      <c r="C461" s="52">
        <v>637.4452</v>
      </c>
      <c r="D461" s="52">
        <v>318.7226</v>
      </c>
      <c r="E461" s="52">
        <v>318.7226</v>
      </c>
      <c r="F461" s="52">
        <v>1274.8904</v>
      </c>
      <c r="G461" s="52">
        <v>637.4452</v>
      </c>
      <c r="H461" s="52">
        <v>637.4452</v>
      </c>
      <c r="I461" s="52">
        <v>1274.8904</v>
      </c>
      <c r="J461" s="52">
        <v>376.08229999999998</v>
      </c>
      <c r="K461" s="52">
        <v>1128.2470000000001</v>
      </c>
      <c r="L461" s="52">
        <v>376.08229999999998</v>
      </c>
      <c r="M461" s="52">
        <v>376.08229999999998</v>
      </c>
      <c r="N461" s="5" t="s">
        <v>69</v>
      </c>
    </row>
    <row r="462" spans="1:14" x14ac:dyDescent="0.25">
      <c r="A462" s="51">
        <v>1.2509999999999999</v>
      </c>
      <c r="B462" s="52">
        <v>7360.1352999999999</v>
      </c>
      <c r="C462" s="52">
        <v>637.95519999999999</v>
      </c>
      <c r="D462" s="52">
        <v>318.9776</v>
      </c>
      <c r="E462" s="52">
        <v>318.9776</v>
      </c>
      <c r="F462" s="52">
        <v>1275.9103</v>
      </c>
      <c r="G462" s="52">
        <v>637.95519999999999</v>
      </c>
      <c r="H462" s="52">
        <v>637.95519999999999</v>
      </c>
      <c r="I462" s="52">
        <v>1275.9103</v>
      </c>
      <c r="J462" s="52">
        <v>376.08229999999998</v>
      </c>
      <c r="K462" s="52">
        <v>1128.2470000000001</v>
      </c>
      <c r="L462" s="52">
        <v>376.08229999999998</v>
      </c>
      <c r="M462" s="52">
        <v>376.08229999999998</v>
      </c>
      <c r="N462" s="5" t="s">
        <v>69</v>
      </c>
    </row>
    <row r="463" spans="1:14" x14ac:dyDescent="0.25">
      <c r="A463" s="51">
        <v>1.252</v>
      </c>
      <c r="B463" s="52">
        <v>7364.2148999999999</v>
      </c>
      <c r="C463" s="52">
        <v>638.46510000000001</v>
      </c>
      <c r="D463" s="52">
        <v>319.23259999999999</v>
      </c>
      <c r="E463" s="52">
        <v>319.23259999999999</v>
      </c>
      <c r="F463" s="52">
        <v>1276.9302</v>
      </c>
      <c r="G463" s="52">
        <v>638.46510000000001</v>
      </c>
      <c r="H463" s="52">
        <v>638.46510000000001</v>
      </c>
      <c r="I463" s="52">
        <v>1276.9302</v>
      </c>
      <c r="J463" s="52">
        <v>376.08229999999998</v>
      </c>
      <c r="K463" s="52">
        <v>1128.2470000000001</v>
      </c>
      <c r="L463" s="52">
        <v>376.08229999999998</v>
      </c>
      <c r="M463" s="52">
        <v>376.08229999999998</v>
      </c>
      <c r="N463" s="5" t="s">
        <v>69</v>
      </c>
    </row>
    <row r="464" spans="1:14" x14ac:dyDescent="0.25">
      <c r="A464" s="51">
        <v>1.2529999999999999</v>
      </c>
      <c r="B464" s="52">
        <v>7368.2946000000002</v>
      </c>
      <c r="C464" s="52">
        <v>638.9751</v>
      </c>
      <c r="D464" s="52">
        <v>319.48750000000001</v>
      </c>
      <c r="E464" s="52">
        <v>319.48750000000001</v>
      </c>
      <c r="F464" s="52">
        <v>1277.9501</v>
      </c>
      <c r="G464" s="52">
        <v>638.9751</v>
      </c>
      <c r="H464" s="52">
        <v>638.9751</v>
      </c>
      <c r="I464" s="52">
        <v>1277.9501</v>
      </c>
      <c r="J464" s="52">
        <v>376.08229999999998</v>
      </c>
      <c r="K464" s="52">
        <v>1128.2470000000001</v>
      </c>
      <c r="L464" s="52">
        <v>376.08229999999998</v>
      </c>
      <c r="M464" s="52">
        <v>376.08229999999998</v>
      </c>
      <c r="N464" s="5" t="s">
        <v>69</v>
      </c>
    </row>
    <row r="465" spans="1:14" x14ac:dyDescent="0.25">
      <c r="A465" s="51">
        <v>1.254</v>
      </c>
      <c r="B465" s="52">
        <v>7372.3742000000002</v>
      </c>
      <c r="C465" s="52">
        <v>639.48500000000001</v>
      </c>
      <c r="D465" s="52">
        <v>319.74250000000001</v>
      </c>
      <c r="E465" s="52">
        <v>319.74250000000001</v>
      </c>
      <c r="F465" s="52">
        <v>1278.9701</v>
      </c>
      <c r="G465" s="52">
        <v>639.48500000000001</v>
      </c>
      <c r="H465" s="52">
        <v>639.48500000000001</v>
      </c>
      <c r="I465" s="52">
        <v>1278.9701</v>
      </c>
      <c r="J465" s="52">
        <v>376.08229999999998</v>
      </c>
      <c r="K465" s="52">
        <v>1128.2470000000001</v>
      </c>
      <c r="L465" s="52">
        <v>376.08229999999998</v>
      </c>
      <c r="M465" s="52">
        <v>376.08229999999998</v>
      </c>
      <c r="N465" s="5" t="s">
        <v>69</v>
      </c>
    </row>
    <row r="466" spans="1:14" x14ac:dyDescent="0.25">
      <c r="A466" s="51">
        <v>1.2549999999999999</v>
      </c>
      <c r="B466" s="52">
        <v>7376.4539000000004</v>
      </c>
      <c r="C466" s="52">
        <v>639.995</v>
      </c>
      <c r="D466" s="52">
        <v>319.9975</v>
      </c>
      <c r="E466" s="52">
        <v>319.9975</v>
      </c>
      <c r="F466" s="52">
        <v>1279.99</v>
      </c>
      <c r="G466" s="52">
        <v>639.995</v>
      </c>
      <c r="H466" s="52">
        <v>639.995</v>
      </c>
      <c r="I466" s="52">
        <v>1279.99</v>
      </c>
      <c r="J466" s="52">
        <v>376.08229999999998</v>
      </c>
      <c r="K466" s="52">
        <v>1128.2470000000001</v>
      </c>
      <c r="L466" s="52">
        <v>376.08229999999998</v>
      </c>
      <c r="M466" s="52">
        <v>376.08229999999998</v>
      </c>
      <c r="N466" s="5" t="s">
        <v>69</v>
      </c>
    </row>
    <row r="467" spans="1:14" x14ac:dyDescent="0.25">
      <c r="A467" s="51">
        <v>1.256</v>
      </c>
      <c r="B467" s="52">
        <v>7380.5334999999995</v>
      </c>
      <c r="C467" s="52">
        <v>640.50490000000002</v>
      </c>
      <c r="D467" s="52">
        <v>320.2525</v>
      </c>
      <c r="E467" s="52">
        <v>320.2525</v>
      </c>
      <c r="F467" s="52">
        <v>1281.0099</v>
      </c>
      <c r="G467" s="52">
        <v>640.50490000000002</v>
      </c>
      <c r="H467" s="52">
        <v>640.50490000000002</v>
      </c>
      <c r="I467" s="52">
        <v>1281.0099</v>
      </c>
      <c r="J467" s="52">
        <v>376.08229999999998</v>
      </c>
      <c r="K467" s="52">
        <v>1128.2470000000001</v>
      </c>
      <c r="L467" s="52">
        <v>376.08229999999998</v>
      </c>
      <c r="M467" s="52">
        <v>376.08229999999998</v>
      </c>
      <c r="N467" s="5" t="s">
        <v>69</v>
      </c>
    </row>
    <row r="468" spans="1:14" x14ac:dyDescent="0.25">
      <c r="A468" s="51">
        <v>1.2569999999999999</v>
      </c>
      <c r="B468" s="52">
        <v>7384.6131999999998</v>
      </c>
      <c r="C468" s="52">
        <v>641.01490000000001</v>
      </c>
      <c r="D468" s="52">
        <v>320.50740000000002</v>
      </c>
      <c r="E468" s="52">
        <v>320.50740000000002</v>
      </c>
      <c r="F468" s="52">
        <v>1282.0298</v>
      </c>
      <c r="G468" s="52">
        <v>641.01490000000001</v>
      </c>
      <c r="H468" s="52">
        <v>641.01490000000001</v>
      </c>
      <c r="I468" s="52">
        <v>1282.0298</v>
      </c>
      <c r="J468" s="52">
        <v>376.08229999999998</v>
      </c>
      <c r="K468" s="52">
        <v>1128.2470000000001</v>
      </c>
      <c r="L468" s="52">
        <v>376.08229999999998</v>
      </c>
      <c r="M468" s="52">
        <v>376.08229999999998</v>
      </c>
      <c r="N468" s="5" t="s">
        <v>69</v>
      </c>
    </row>
    <row r="469" spans="1:14" x14ac:dyDescent="0.25">
      <c r="A469" s="51">
        <v>1.258</v>
      </c>
      <c r="B469" s="52">
        <v>7388.6927999999998</v>
      </c>
      <c r="C469" s="52">
        <v>641.5249</v>
      </c>
      <c r="D469" s="52">
        <v>320.76240000000001</v>
      </c>
      <c r="E469" s="52">
        <v>320.76240000000001</v>
      </c>
      <c r="F469" s="52">
        <v>1283.0497</v>
      </c>
      <c r="G469" s="52">
        <v>641.5249</v>
      </c>
      <c r="H469" s="52">
        <v>641.5249</v>
      </c>
      <c r="I469" s="52">
        <v>1283.0497</v>
      </c>
      <c r="J469" s="52">
        <v>376.08229999999998</v>
      </c>
      <c r="K469" s="52">
        <v>1128.2470000000001</v>
      </c>
      <c r="L469" s="52">
        <v>376.08229999999998</v>
      </c>
      <c r="M469" s="52">
        <v>376.08229999999998</v>
      </c>
      <c r="N469" s="5" t="s">
        <v>69</v>
      </c>
    </row>
    <row r="470" spans="1:14" x14ac:dyDescent="0.25">
      <c r="A470" s="51">
        <v>1.2589999999999999</v>
      </c>
      <c r="B470" s="52">
        <v>7392.7725</v>
      </c>
      <c r="C470" s="52">
        <v>642.03480000000002</v>
      </c>
      <c r="D470" s="52">
        <v>321.01740000000001</v>
      </c>
      <c r="E470" s="52">
        <v>321.01740000000001</v>
      </c>
      <c r="F470" s="52">
        <v>1284.0696</v>
      </c>
      <c r="G470" s="52">
        <v>642.03480000000002</v>
      </c>
      <c r="H470" s="52">
        <v>642.03480000000002</v>
      </c>
      <c r="I470" s="52">
        <v>1284.0696</v>
      </c>
      <c r="J470" s="52">
        <v>376.08229999999998</v>
      </c>
      <c r="K470" s="52">
        <v>1128.2470000000001</v>
      </c>
      <c r="L470" s="52">
        <v>376.08229999999998</v>
      </c>
      <c r="M470" s="52">
        <v>376.08229999999998</v>
      </c>
      <c r="N470" s="5" t="s">
        <v>69</v>
      </c>
    </row>
    <row r="471" spans="1:14" x14ac:dyDescent="0.25">
      <c r="A471" s="51">
        <v>1.26</v>
      </c>
      <c r="B471" s="52">
        <v>7396.8521000000001</v>
      </c>
      <c r="C471" s="52">
        <v>642.54480000000001</v>
      </c>
      <c r="D471" s="52">
        <v>321.2724</v>
      </c>
      <c r="E471" s="52">
        <v>321.2724</v>
      </c>
      <c r="F471" s="52">
        <v>1285.0895</v>
      </c>
      <c r="G471" s="52">
        <v>642.54480000000001</v>
      </c>
      <c r="H471" s="52">
        <v>642.54480000000001</v>
      </c>
      <c r="I471" s="52">
        <v>1285.0895</v>
      </c>
      <c r="J471" s="52">
        <v>376.08229999999998</v>
      </c>
      <c r="K471" s="52">
        <v>1128.2470000000001</v>
      </c>
      <c r="L471" s="52">
        <v>376.08229999999998</v>
      </c>
      <c r="M471" s="52">
        <v>376.08229999999998</v>
      </c>
      <c r="N471" s="5" t="s">
        <v>69</v>
      </c>
    </row>
    <row r="472" spans="1:14" x14ac:dyDescent="0.25">
      <c r="A472" s="51">
        <v>1.2609999999999999</v>
      </c>
      <c r="B472" s="52">
        <v>7400.9318000000003</v>
      </c>
      <c r="C472" s="52">
        <v>643.05470000000003</v>
      </c>
      <c r="D472" s="52">
        <v>321.5274</v>
      </c>
      <c r="E472" s="52">
        <v>321.5274</v>
      </c>
      <c r="F472" s="52">
        <v>1286.1094000000001</v>
      </c>
      <c r="G472" s="52">
        <v>643.05470000000003</v>
      </c>
      <c r="H472" s="52">
        <v>643.05470000000003</v>
      </c>
      <c r="I472" s="52">
        <v>1286.1094000000001</v>
      </c>
      <c r="J472" s="52">
        <v>376.08229999999998</v>
      </c>
      <c r="K472" s="52">
        <v>1128.2470000000001</v>
      </c>
      <c r="L472" s="52">
        <v>376.08229999999998</v>
      </c>
      <c r="M472" s="52">
        <v>376.08229999999998</v>
      </c>
      <c r="N472" s="5" t="s">
        <v>69</v>
      </c>
    </row>
    <row r="473" spans="1:14" x14ac:dyDescent="0.25">
      <c r="A473" s="51">
        <v>1.262</v>
      </c>
      <c r="B473" s="52">
        <v>7405.0114000000003</v>
      </c>
      <c r="C473" s="52">
        <v>643.56470000000002</v>
      </c>
      <c r="D473" s="52">
        <v>321.78230000000002</v>
      </c>
      <c r="E473" s="52">
        <v>321.78230000000002</v>
      </c>
      <c r="F473" s="52">
        <v>1287.1294</v>
      </c>
      <c r="G473" s="52">
        <v>643.56470000000002</v>
      </c>
      <c r="H473" s="52">
        <v>643.56470000000002</v>
      </c>
      <c r="I473" s="52">
        <v>1287.1294</v>
      </c>
      <c r="J473" s="52">
        <v>376.08229999999998</v>
      </c>
      <c r="K473" s="52">
        <v>1128.2470000000001</v>
      </c>
      <c r="L473" s="52">
        <v>376.08229999999998</v>
      </c>
      <c r="M473" s="52">
        <v>376.08229999999998</v>
      </c>
      <c r="N473" s="5" t="s">
        <v>69</v>
      </c>
    </row>
    <row r="474" spans="1:14" x14ac:dyDescent="0.25">
      <c r="A474" s="51">
        <v>1.2629999999999999</v>
      </c>
      <c r="B474" s="52">
        <v>7409.0910999999996</v>
      </c>
      <c r="C474" s="52">
        <v>644.07460000000003</v>
      </c>
      <c r="D474" s="52">
        <v>322.03730000000002</v>
      </c>
      <c r="E474" s="52">
        <v>322.03730000000002</v>
      </c>
      <c r="F474" s="52">
        <v>1288.1493</v>
      </c>
      <c r="G474" s="52">
        <v>644.07460000000003</v>
      </c>
      <c r="H474" s="52">
        <v>644.07460000000003</v>
      </c>
      <c r="I474" s="52">
        <v>1288.1493</v>
      </c>
      <c r="J474" s="52">
        <v>376.08229999999998</v>
      </c>
      <c r="K474" s="52">
        <v>1128.2470000000001</v>
      </c>
      <c r="L474" s="52">
        <v>376.08229999999998</v>
      </c>
      <c r="M474" s="52">
        <v>376.08229999999998</v>
      </c>
      <c r="N474" s="5" t="s">
        <v>69</v>
      </c>
    </row>
    <row r="475" spans="1:14" x14ac:dyDescent="0.25">
      <c r="A475" s="51">
        <v>1.264</v>
      </c>
      <c r="B475" s="52">
        <v>7413.1706999999997</v>
      </c>
      <c r="C475" s="52">
        <v>644.58460000000002</v>
      </c>
      <c r="D475" s="52">
        <v>322.29230000000001</v>
      </c>
      <c r="E475" s="52">
        <v>322.29230000000001</v>
      </c>
      <c r="F475" s="52">
        <v>1289.1692</v>
      </c>
      <c r="G475" s="52">
        <v>644.58460000000002</v>
      </c>
      <c r="H475" s="52">
        <v>644.58460000000002</v>
      </c>
      <c r="I475" s="52">
        <v>1289.1692</v>
      </c>
      <c r="J475" s="52">
        <v>376.08229999999998</v>
      </c>
      <c r="K475" s="52">
        <v>1128.2470000000001</v>
      </c>
      <c r="L475" s="52">
        <v>376.08229999999998</v>
      </c>
      <c r="M475" s="52">
        <v>376.08229999999998</v>
      </c>
      <c r="N475" s="5" t="s">
        <v>69</v>
      </c>
    </row>
    <row r="476" spans="1:14" x14ac:dyDescent="0.25">
      <c r="A476" s="51">
        <v>1.2649999999999999</v>
      </c>
      <c r="B476" s="52">
        <v>7417.2503999999999</v>
      </c>
      <c r="C476" s="52">
        <v>645.09450000000004</v>
      </c>
      <c r="D476" s="52">
        <v>322.54730000000001</v>
      </c>
      <c r="E476" s="52">
        <v>322.54730000000001</v>
      </c>
      <c r="F476" s="52">
        <v>1290.1891000000001</v>
      </c>
      <c r="G476" s="52">
        <v>645.09450000000004</v>
      </c>
      <c r="H476" s="52">
        <v>645.09450000000004</v>
      </c>
      <c r="I476" s="52">
        <v>1290.1891000000001</v>
      </c>
      <c r="J476" s="52">
        <v>376.08229999999998</v>
      </c>
      <c r="K476" s="52">
        <v>1128.2470000000001</v>
      </c>
      <c r="L476" s="52">
        <v>376.08229999999998</v>
      </c>
      <c r="M476" s="52">
        <v>376.08229999999998</v>
      </c>
      <c r="N476" s="5" t="s">
        <v>69</v>
      </c>
    </row>
    <row r="477" spans="1:14" x14ac:dyDescent="0.25">
      <c r="A477" s="51">
        <v>1.266</v>
      </c>
      <c r="B477" s="52">
        <v>7421.33</v>
      </c>
      <c r="C477" s="52">
        <v>645.60450000000003</v>
      </c>
      <c r="D477" s="52">
        <v>322.8023</v>
      </c>
      <c r="E477" s="52">
        <v>322.8023</v>
      </c>
      <c r="F477" s="52">
        <v>1291.2090000000001</v>
      </c>
      <c r="G477" s="52">
        <v>645.60450000000003</v>
      </c>
      <c r="H477" s="52">
        <v>645.60450000000003</v>
      </c>
      <c r="I477" s="52">
        <v>1291.2090000000001</v>
      </c>
      <c r="J477" s="52">
        <v>376.08229999999998</v>
      </c>
      <c r="K477" s="52">
        <v>1128.2470000000001</v>
      </c>
      <c r="L477" s="52">
        <v>376.08229999999998</v>
      </c>
      <c r="M477" s="52">
        <v>376.08229999999998</v>
      </c>
      <c r="N477" s="5" t="s">
        <v>69</v>
      </c>
    </row>
    <row r="478" spans="1:14" x14ac:dyDescent="0.25">
      <c r="A478" s="51">
        <v>1.2669999999999999</v>
      </c>
      <c r="B478" s="52">
        <v>7425.4097000000002</v>
      </c>
      <c r="C478" s="52">
        <v>646.11450000000002</v>
      </c>
      <c r="D478" s="52">
        <v>323.05720000000002</v>
      </c>
      <c r="E478" s="52">
        <v>323.05720000000002</v>
      </c>
      <c r="F478" s="52">
        <v>1292.2289000000001</v>
      </c>
      <c r="G478" s="52">
        <v>646.11450000000002</v>
      </c>
      <c r="H478" s="52">
        <v>646.11450000000002</v>
      </c>
      <c r="I478" s="52">
        <v>1292.2289000000001</v>
      </c>
      <c r="J478" s="52">
        <v>376.08229999999998</v>
      </c>
      <c r="K478" s="52">
        <v>1128.2470000000001</v>
      </c>
      <c r="L478" s="52">
        <v>376.08229999999998</v>
      </c>
      <c r="M478" s="52">
        <v>376.08229999999998</v>
      </c>
      <c r="N478" s="5" t="s">
        <v>69</v>
      </c>
    </row>
    <row r="479" spans="1:14" x14ac:dyDescent="0.25">
      <c r="A479" s="51">
        <v>1.268</v>
      </c>
      <c r="B479" s="52">
        <v>7429.4893000000002</v>
      </c>
      <c r="C479" s="52">
        <v>646.62440000000004</v>
      </c>
      <c r="D479" s="52">
        <v>323.31220000000002</v>
      </c>
      <c r="E479" s="52">
        <v>323.31220000000002</v>
      </c>
      <c r="F479" s="52">
        <v>1293.2488000000001</v>
      </c>
      <c r="G479" s="52">
        <v>646.62440000000004</v>
      </c>
      <c r="H479" s="52">
        <v>646.62440000000004</v>
      </c>
      <c r="I479" s="52">
        <v>1293.2488000000001</v>
      </c>
      <c r="J479" s="52">
        <v>376.08229999999998</v>
      </c>
      <c r="K479" s="52">
        <v>1128.2470000000001</v>
      </c>
      <c r="L479" s="52">
        <v>376.08229999999998</v>
      </c>
      <c r="M479" s="52">
        <v>376.08229999999998</v>
      </c>
      <c r="N479" s="5" t="s">
        <v>69</v>
      </c>
    </row>
    <row r="480" spans="1:14" x14ac:dyDescent="0.25">
      <c r="A480" s="51">
        <v>1.2689999999999999</v>
      </c>
      <c r="B480" s="52">
        <v>7433.5690000000004</v>
      </c>
      <c r="C480" s="52">
        <v>647.13440000000003</v>
      </c>
      <c r="D480" s="52">
        <v>323.56720000000001</v>
      </c>
      <c r="E480" s="52">
        <v>323.56720000000001</v>
      </c>
      <c r="F480" s="52">
        <v>1294.2687000000001</v>
      </c>
      <c r="G480" s="52">
        <v>647.13440000000003</v>
      </c>
      <c r="H480" s="52">
        <v>647.13440000000003</v>
      </c>
      <c r="I480" s="52">
        <v>1294.2687000000001</v>
      </c>
      <c r="J480" s="52">
        <v>376.08229999999998</v>
      </c>
      <c r="K480" s="52">
        <v>1128.2470000000001</v>
      </c>
      <c r="L480" s="52">
        <v>376.08229999999998</v>
      </c>
      <c r="M480" s="52">
        <v>376.08229999999998</v>
      </c>
      <c r="N480" s="5" t="s">
        <v>69</v>
      </c>
    </row>
    <row r="481" spans="1:14" x14ac:dyDescent="0.25">
      <c r="A481" s="51">
        <v>1.27</v>
      </c>
      <c r="B481" s="52">
        <v>7437.6486000000004</v>
      </c>
      <c r="C481" s="52">
        <v>647.64430000000004</v>
      </c>
      <c r="D481" s="52">
        <v>323.82220000000001</v>
      </c>
      <c r="E481" s="52">
        <v>323.82220000000001</v>
      </c>
      <c r="F481" s="52">
        <v>1295.2887000000001</v>
      </c>
      <c r="G481" s="52">
        <v>647.64430000000004</v>
      </c>
      <c r="H481" s="52">
        <v>647.64430000000004</v>
      </c>
      <c r="I481" s="52">
        <v>1295.2887000000001</v>
      </c>
      <c r="J481" s="52">
        <v>376.08229999999998</v>
      </c>
      <c r="K481" s="52">
        <v>1128.2470000000001</v>
      </c>
      <c r="L481" s="52">
        <v>376.08229999999998</v>
      </c>
      <c r="M481" s="52">
        <v>376.08229999999998</v>
      </c>
      <c r="N481" s="5" t="s">
        <v>69</v>
      </c>
    </row>
    <row r="482" spans="1:14" x14ac:dyDescent="0.25">
      <c r="A482" s="51">
        <v>1.2709999999999999</v>
      </c>
      <c r="B482" s="52">
        <v>7441.7282999999998</v>
      </c>
      <c r="C482" s="52">
        <v>648.15430000000003</v>
      </c>
      <c r="D482" s="52">
        <v>324.07709999999997</v>
      </c>
      <c r="E482" s="52">
        <v>324.07709999999997</v>
      </c>
      <c r="F482" s="52">
        <v>1296.3086000000001</v>
      </c>
      <c r="G482" s="52">
        <v>648.15430000000003</v>
      </c>
      <c r="H482" s="52">
        <v>648.15430000000003</v>
      </c>
      <c r="I482" s="52">
        <v>1296.3086000000001</v>
      </c>
      <c r="J482" s="52">
        <v>376.08229999999998</v>
      </c>
      <c r="K482" s="52">
        <v>1128.2470000000001</v>
      </c>
      <c r="L482" s="52">
        <v>376.08229999999998</v>
      </c>
      <c r="M482" s="52">
        <v>376.08229999999998</v>
      </c>
      <c r="N482" s="5" t="s">
        <v>69</v>
      </c>
    </row>
    <row r="483" spans="1:14" x14ac:dyDescent="0.25">
      <c r="A483" s="51">
        <v>1.272</v>
      </c>
      <c r="B483" s="52">
        <v>7445.8078999999998</v>
      </c>
      <c r="C483" s="52">
        <v>648.66420000000005</v>
      </c>
      <c r="D483" s="52">
        <v>324.33210000000003</v>
      </c>
      <c r="E483" s="52">
        <v>324.33210000000003</v>
      </c>
      <c r="F483" s="52">
        <v>1297.3285000000001</v>
      </c>
      <c r="G483" s="52">
        <v>648.66420000000005</v>
      </c>
      <c r="H483" s="52">
        <v>648.66420000000005</v>
      </c>
      <c r="I483" s="52">
        <v>1297.3285000000001</v>
      </c>
      <c r="J483" s="52">
        <v>376.08229999999998</v>
      </c>
      <c r="K483" s="52">
        <v>1128.2470000000001</v>
      </c>
      <c r="L483" s="52">
        <v>376.08229999999998</v>
      </c>
      <c r="M483" s="52">
        <v>376.08229999999998</v>
      </c>
      <c r="N483" s="5" t="s">
        <v>69</v>
      </c>
    </row>
    <row r="484" spans="1:14" x14ac:dyDescent="0.25">
      <c r="A484" s="51">
        <v>1.2729999999999999</v>
      </c>
      <c r="B484" s="52">
        <v>7449.8876</v>
      </c>
      <c r="C484" s="52">
        <v>649.17420000000004</v>
      </c>
      <c r="D484" s="52">
        <v>324.58710000000002</v>
      </c>
      <c r="E484" s="52">
        <v>324.58710000000002</v>
      </c>
      <c r="F484" s="52">
        <v>1298.3484000000001</v>
      </c>
      <c r="G484" s="52">
        <v>649.17420000000004</v>
      </c>
      <c r="H484" s="52">
        <v>649.17420000000004</v>
      </c>
      <c r="I484" s="52">
        <v>1298.3484000000001</v>
      </c>
      <c r="J484" s="52">
        <v>376.08229999999998</v>
      </c>
      <c r="K484" s="52">
        <v>1128.2470000000001</v>
      </c>
      <c r="L484" s="52">
        <v>376.08229999999998</v>
      </c>
      <c r="M484" s="52">
        <v>376.08229999999998</v>
      </c>
      <c r="N484" s="5" t="s">
        <v>69</v>
      </c>
    </row>
    <row r="485" spans="1:14" x14ac:dyDescent="0.25">
      <c r="A485" s="51">
        <v>1.274</v>
      </c>
      <c r="B485" s="52">
        <v>7453.9672</v>
      </c>
      <c r="C485" s="52">
        <v>649.68420000000003</v>
      </c>
      <c r="D485" s="52">
        <v>324.84210000000002</v>
      </c>
      <c r="E485" s="52">
        <v>324.84210000000002</v>
      </c>
      <c r="F485" s="52">
        <v>1299.3683000000001</v>
      </c>
      <c r="G485" s="52">
        <v>649.68420000000003</v>
      </c>
      <c r="H485" s="52">
        <v>649.68420000000003</v>
      </c>
      <c r="I485" s="52">
        <v>1299.3683000000001</v>
      </c>
      <c r="J485" s="52">
        <v>376.08229999999998</v>
      </c>
      <c r="K485" s="52">
        <v>1128.2470000000001</v>
      </c>
      <c r="L485" s="52">
        <v>376.08229999999998</v>
      </c>
      <c r="M485" s="52">
        <v>376.08229999999998</v>
      </c>
      <c r="N485" s="5" t="s">
        <v>69</v>
      </c>
    </row>
    <row r="486" spans="1:14" x14ac:dyDescent="0.25">
      <c r="A486" s="51">
        <v>1.2749999999999999</v>
      </c>
      <c r="B486" s="52">
        <v>7458.0469000000003</v>
      </c>
      <c r="C486" s="52">
        <v>650.19410000000005</v>
      </c>
      <c r="D486" s="52">
        <v>325.09710000000001</v>
      </c>
      <c r="E486" s="52">
        <v>325.09710000000001</v>
      </c>
      <c r="F486" s="52">
        <v>1300.3882000000001</v>
      </c>
      <c r="G486" s="52">
        <v>650.19410000000005</v>
      </c>
      <c r="H486" s="52">
        <v>650.19410000000005</v>
      </c>
      <c r="I486" s="52">
        <v>1300.3882000000001</v>
      </c>
      <c r="J486" s="52">
        <v>376.08229999999998</v>
      </c>
      <c r="K486" s="52">
        <v>1128.2470000000001</v>
      </c>
      <c r="L486" s="52">
        <v>376.08229999999998</v>
      </c>
      <c r="M486" s="52">
        <v>376.08229999999998</v>
      </c>
      <c r="N486" s="5" t="s">
        <v>69</v>
      </c>
    </row>
    <row r="487" spans="1:14" x14ac:dyDescent="0.25">
      <c r="A487" s="51">
        <v>1.276</v>
      </c>
      <c r="B487" s="52">
        <v>7462.1265000000003</v>
      </c>
      <c r="C487" s="52">
        <v>650.70410000000004</v>
      </c>
      <c r="D487" s="52">
        <v>325.35199999999998</v>
      </c>
      <c r="E487" s="52">
        <v>325.35199999999998</v>
      </c>
      <c r="F487" s="52">
        <v>1301.4081000000001</v>
      </c>
      <c r="G487" s="52">
        <v>650.70410000000004</v>
      </c>
      <c r="H487" s="52">
        <v>650.70410000000004</v>
      </c>
      <c r="I487" s="52">
        <v>1301.4081000000001</v>
      </c>
      <c r="J487" s="52">
        <v>376.08229999999998</v>
      </c>
      <c r="K487" s="52">
        <v>1128.2470000000001</v>
      </c>
      <c r="L487" s="52">
        <v>376.08229999999998</v>
      </c>
      <c r="M487" s="52">
        <v>376.08229999999998</v>
      </c>
      <c r="N487" s="5" t="s">
        <v>69</v>
      </c>
    </row>
    <row r="488" spans="1:14" x14ac:dyDescent="0.25">
      <c r="A488" s="51">
        <v>1.2769999999999999</v>
      </c>
      <c r="B488" s="52">
        <v>7466.2061999999996</v>
      </c>
      <c r="C488" s="52">
        <v>651.21400000000006</v>
      </c>
      <c r="D488" s="52">
        <v>325.60700000000003</v>
      </c>
      <c r="E488" s="52">
        <v>325.60700000000003</v>
      </c>
      <c r="F488" s="52">
        <v>1302.4280000000001</v>
      </c>
      <c r="G488" s="52">
        <v>651.21400000000006</v>
      </c>
      <c r="H488" s="52">
        <v>651.21400000000006</v>
      </c>
      <c r="I488" s="52">
        <v>1302.4280000000001</v>
      </c>
      <c r="J488" s="52">
        <v>376.08229999999998</v>
      </c>
      <c r="K488" s="52">
        <v>1128.2470000000001</v>
      </c>
      <c r="L488" s="52">
        <v>376.08229999999998</v>
      </c>
      <c r="M488" s="52">
        <v>376.08229999999998</v>
      </c>
      <c r="N488" s="5" t="s">
        <v>69</v>
      </c>
    </row>
    <row r="489" spans="1:14" x14ac:dyDescent="0.25">
      <c r="A489" s="51">
        <v>1.278</v>
      </c>
      <c r="B489" s="52">
        <v>7470.2857999999997</v>
      </c>
      <c r="C489" s="52">
        <v>651.72400000000005</v>
      </c>
      <c r="D489" s="52">
        <v>325.86200000000002</v>
      </c>
      <c r="E489" s="52">
        <v>325.86200000000002</v>
      </c>
      <c r="F489" s="52">
        <v>1303.4480000000001</v>
      </c>
      <c r="G489" s="52">
        <v>651.72400000000005</v>
      </c>
      <c r="H489" s="52">
        <v>651.72400000000005</v>
      </c>
      <c r="I489" s="52">
        <v>1303.4480000000001</v>
      </c>
      <c r="J489" s="52">
        <v>376.08229999999998</v>
      </c>
      <c r="K489" s="52">
        <v>1128.2470000000001</v>
      </c>
      <c r="L489" s="52">
        <v>376.08229999999998</v>
      </c>
      <c r="M489" s="52">
        <v>376.08229999999998</v>
      </c>
      <c r="N489" s="5" t="s">
        <v>69</v>
      </c>
    </row>
    <row r="490" spans="1:14" x14ac:dyDescent="0.25">
      <c r="A490" s="51">
        <v>1.2789999999999999</v>
      </c>
      <c r="B490" s="52">
        <v>7474.3654999999999</v>
      </c>
      <c r="C490" s="52">
        <v>652.23389999999995</v>
      </c>
      <c r="D490" s="52">
        <v>326.11700000000002</v>
      </c>
      <c r="E490" s="52">
        <v>326.11700000000002</v>
      </c>
      <c r="F490" s="52">
        <v>1304.4679000000001</v>
      </c>
      <c r="G490" s="52">
        <v>652.23389999999995</v>
      </c>
      <c r="H490" s="52">
        <v>652.23389999999995</v>
      </c>
      <c r="I490" s="52">
        <v>1304.4679000000001</v>
      </c>
      <c r="J490" s="52">
        <v>376.08229999999998</v>
      </c>
      <c r="K490" s="52">
        <v>1128.2470000000001</v>
      </c>
      <c r="L490" s="52">
        <v>376.08229999999998</v>
      </c>
      <c r="M490" s="52">
        <v>376.08229999999998</v>
      </c>
      <c r="N490" s="5" t="s">
        <v>69</v>
      </c>
    </row>
    <row r="491" spans="1:14" x14ac:dyDescent="0.25">
      <c r="A491" s="51">
        <v>1.28</v>
      </c>
      <c r="B491" s="52">
        <v>7478.4450999999999</v>
      </c>
      <c r="C491" s="52">
        <v>652.74390000000005</v>
      </c>
      <c r="D491" s="52">
        <v>326.37189999999998</v>
      </c>
      <c r="E491" s="52">
        <v>326.37189999999998</v>
      </c>
      <c r="F491" s="52">
        <v>1305.4878000000001</v>
      </c>
      <c r="G491" s="52">
        <v>652.74390000000005</v>
      </c>
      <c r="H491" s="52">
        <v>652.74390000000005</v>
      </c>
      <c r="I491" s="52">
        <v>1305.4878000000001</v>
      </c>
      <c r="J491" s="52">
        <v>376.08229999999998</v>
      </c>
      <c r="K491" s="52">
        <v>1128.2470000000001</v>
      </c>
      <c r="L491" s="52">
        <v>376.08229999999998</v>
      </c>
      <c r="M491" s="52">
        <v>376.08229999999998</v>
      </c>
      <c r="N491" s="5" t="s">
        <v>69</v>
      </c>
    </row>
    <row r="492" spans="1:14" x14ac:dyDescent="0.25">
      <c r="A492" s="51">
        <v>1.2809999999999999</v>
      </c>
      <c r="B492" s="52">
        <v>7482.5248000000001</v>
      </c>
      <c r="C492" s="52">
        <v>653.25379999999996</v>
      </c>
      <c r="D492" s="52">
        <v>326.62689999999998</v>
      </c>
      <c r="E492" s="52">
        <v>326.62689999999998</v>
      </c>
      <c r="F492" s="52">
        <v>1306.5077000000001</v>
      </c>
      <c r="G492" s="52">
        <v>653.25379999999996</v>
      </c>
      <c r="H492" s="52">
        <v>653.25379999999996</v>
      </c>
      <c r="I492" s="52">
        <v>1306.5077000000001</v>
      </c>
      <c r="J492" s="52">
        <v>376.08229999999998</v>
      </c>
      <c r="K492" s="52">
        <v>1128.2470000000001</v>
      </c>
      <c r="L492" s="52">
        <v>376.08229999999998</v>
      </c>
      <c r="M492" s="52">
        <v>376.08229999999998</v>
      </c>
      <c r="N492" s="5" t="s">
        <v>69</v>
      </c>
    </row>
    <row r="493" spans="1:14" x14ac:dyDescent="0.25">
      <c r="A493" s="51">
        <v>1.282</v>
      </c>
      <c r="B493" s="52">
        <v>7486.6044000000002</v>
      </c>
      <c r="C493" s="52">
        <v>653.76379999999995</v>
      </c>
      <c r="D493" s="52">
        <v>326.88189999999997</v>
      </c>
      <c r="E493" s="52">
        <v>326.88189999999997</v>
      </c>
      <c r="F493" s="52">
        <v>1307.5275999999999</v>
      </c>
      <c r="G493" s="52">
        <v>653.76379999999995</v>
      </c>
      <c r="H493" s="52">
        <v>653.76379999999995</v>
      </c>
      <c r="I493" s="52">
        <v>1307.5275999999999</v>
      </c>
      <c r="J493" s="52">
        <v>376.08229999999998</v>
      </c>
      <c r="K493" s="52">
        <v>1128.2470000000001</v>
      </c>
      <c r="L493" s="52">
        <v>376.08229999999998</v>
      </c>
      <c r="M493" s="52">
        <v>376.08229999999998</v>
      </c>
      <c r="N493" s="5" t="s">
        <v>69</v>
      </c>
    </row>
    <row r="494" spans="1:14" x14ac:dyDescent="0.25">
      <c r="A494" s="51">
        <v>1.2829999999999999</v>
      </c>
      <c r="B494" s="52">
        <v>7490.6841000000004</v>
      </c>
      <c r="C494" s="52">
        <v>654.27380000000005</v>
      </c>
      <c r="D494" s="52">
        <v>327.13690000000003</v>
      </c>
      <c r="E494" s="52">
        <v>327.13690000000003</v>
      </c>
      <c r="F494" s="52">
        <v>1308.5474999999999</v>
      </c>
      <c r="G494" s="52">
        <v>654.27380000000005</v>
      </c>
      <c r="H494" s="52">
        <v>654.27380000000005</v>
      </c>
      <c r="I494" s="52">
        <v>1308.5474999999999</v>
      </c>
      <c r="J494" s="52">
        <v>376.08229999999998</v>
      </c>
      <c r="K494" s="52">
        <v>1128.2470000000001</v>
      </c>
      <c r="L494" s="52">
        <v>376.08229999999998</v>
      </c>
      <c r="M494" s="52">
        <v>376.08229999999998</v>
      </c>
      <c r="N494" s="5" t="s">
        <v>69</v>
      </c>
    </row>
    <row r="495" spans="1:14" x14ac:dyDescent="0.25">
      <c r="A495" s="51">
        <v>1.284</v>
      </c>
      <c r="B495" s="52">
        <v>7494.7637000000004</v>
      </c>
      <c r="C495" s="52">
        <v>654.78369999999995</v>
      </c>
      <c r="D495" s="52">
        <v>327.39190000000002</v>
      </c>
      <c r="E495" s="52">
        <v>327.39190000000002</v>
      </c>
      <c r="F495" s="52">
        <v>1309.5673999999999</v>
      </c>
      <c r="G495" s="52">
        <v>654.78369999999995</v>
      </c>
      <c r="H495" s="52">
        <v>654.78369999999995</v>
      </c>
      <c r="I495" s="52">
        <v>1309.5673999999999</v>
      </c>
      <c r="J495" s="52">
        <v>376.08229999999998</v>
      </c>
      <c r="K495" s="52">
        <v>1128.2470000000001</v>
      </c>
      <c r="L495" s="52">
        <v>376.08229999999998</v>
      </c>
      <c r="M495" s="52">
        <v>376.08229999999998</v>
      </c>
      <c r="N495" s="5" t="s">
        <v>69</v>
      </c>
    </row>
    <row r="496" spans="1:14" x14ac:dyDescent="0.25">
      <c r="A496" s="51">
        <v>1.2849999999999999</v>
      </c>
      <c r="B496" s="52">
        <v>7498.8433999999997</v>
      </c>
      <c r="C496" s="52">
        <v>655.29369999999994</v>
      </c>
      <c r="D496" s="52">
        <v>327.64679999999998</v>
      </c>
      <c r="E496" s="52">
        <v>327.64679999999998</v>
      </c>
      <c r="F496" s="52">
        <v>1310.5872999999999</v>
      </c>
      <c r="G496" s="52">
        <v>655.29369999999994</v>
      </c>
      <c r="H496" s="52">
        <v>655.29369999999994</v>
      </c>
      <c r="I496" s="52">
        <v>1310.5872999999999</v>
      </c>
      <c r="J496" s="52">
        <v>376.08229999999998</v>
      </c>
      <c r="K496" s="52">
        <v>1128.2470000000001</v>
      </c>
      <c r="L496" s="52">
        <v>376.08229999999998</v>
      </c>
      <c r="M496" s="52">
        <v>376.08229999999998</v>
      </c>
      <c r="N496" s="5" t="s">
        <v>69</v>
      </c>
    </row>
    <row r="497" spans="1:14" x14ac:dyDescent="0.25">
      <c r="A497" s="51">
        <v>1.286</v>
      </c>
      <c r="B497" s="52">
        <v>7502.9229999999998</v>
      </c>
      <c r="C497" s="52">
        <v>655.80359999999996</v>
      </c>
      <c r="D497" s="52">
        <v>327.90179999999998</v>
      </c>
      <c r="E497" s="52">
        <v>327.90179999999998</v>
      </c>
      <c r="F497" s="52">
        <v>1311.6072999999999</v>
      </c>
      <c r="G497" s="52">
        <v>655.80359999999996</v>
      </c>
      <c r="H497" s="52">
        <v>655.80359999999996</v>
      </c>
      <c r="I497" s="52">
        <v>1311.6072999999999</v>
      </c>
      <c r="J497" s="52">
        <v>376.08229999999998</v>
      </c>
      <c r="K497" s="52">
        <v>1128.2470000000001</v>
      </c>
      <c r="L497" s="52">
        <v>376.08229999999998</v>
      </c>
      <c r="M497" s="52">
        <v>376.08229999999998</v>
      </c>
      <c r="N497" s="5" t="s">
        <v>69</v>
      </c>
    </row>
    <row r="498" spans="1:14" x14ac:dyDescent="0.25">
      <c r="A498" s="51">
        <v>1.2869999999999999</v>
      </c>
      <c r="B498" s="52">
        <v>7507.0027</v>
      </c>
      <c r="C498" s="52">
        <v>656.31359999999995</v>
      </c>
      <c r="D498" s="52">
        <v>328.15679999999998</v>
      </c>
      <c r="E498" s="52">
        <v>328.15679999999998</v>
      </c>
      <c r="F498" s="52">
        <v>1312.6271999999999</v>
      </c>
      <c r="G498" s="52">
        <v>656.31359999999995</v>
      </c>
      <c r="H498" s="52">
        <v>656.31359999999995</v>
      </c>
      <c r="I498" s="52">
        <v>1312.6271999999999</v>
      </c>
      <c r="J498" s="52">
        <v>376.08229999999998</v>
      </c>
      <c r="K498" s="52">
        <v>1128.2470000000001</v>
      </c>
      <c r="L498" s="52">
        <v>376.08229999999998</v>
      </c>
      <c r="M498" s="52">
        <v>376.08229999999998</v>
      </c>
      <c r="N498" s="5" t="s">
        <v>69</v>
      </c>
    </row>
    <row r="499" spans="1:14" x14ac:dyDescent="0.25">
      <c r="A499" s="51">
        <v>1.288</v>
      </c>
      <c r="B499" s="52">
        <v>7511.0823</v>
      </c>
      <c r="C499" s="52">
        <v>656.82349999999997</v>
      </c>
      <c r="D499" s="52">
        <v>328.41180000000003</v>
      </c>
      <c r="E499" s="52">
        <v>328.41180000000003</v>
      </c>
      <c r="F499" s="52">
        <v>1313.6470999999999</v>
      </c>
      <c r="G499" s="52">
        <v>656.82349999999997</v>
      </c>
      <c r="H499" s="52">
        <v>656.82349999999997</v>
      </c>
      <c r="I499" s="52">
        <v>1313.6470999999999</v>
      </c>
      <c r="J499" s="52">
        <v>376.08229999999998</v>
      </c>
      <c r="K499" s="52">
        <v>1128.2470000000001</v>
      </c>
      <c r="L499" s="52">
        <v>376.08229999999998</v>
      </c>
      <c r="M499" s="52">
        <v>376.08229999999998</v>
      </c>
      <c r="N499" s="5" t="s">
        <v>69</v>
      </c>
    </row>
    <row r="500" spans="1:14" x14ac:dyDescent="0.25">
      <c r="A500" s="51">
        <v>1.2889999999999999</v>
      </c>
      <c r="B500" s="52">
        <v>7515.1620000000003</v>
      </c>
      <c r="C500" s="52">
        <v>657.33349999999996</v>
      </c>
      <c r="D500" s="52">
        <v>328.66669999999999</v>
      </c>
      <c r="E500" s="52">
        <v>328.66669999999999</v>
      </c>
      <c r="F500" s="52">
        <v>1314.6669999999999</v>
      </c>
      <c r="G500" s="52">
        <v>657.33349999999996</v>
      </c>
      <c r="H500" s="52">
        <v>657.33349999999996</v>
      </c>
      <c r="I500" s="52">
        <v>1314.6669999999999</v>
      </c>
      <c r="J500" s="52">
        <v>376.08229999999998</v>
      </c>
      <c r="K500" s="52">
        <v>1128.2470000000001</v>
      </c>
      <c r="L500" s="52">
        <v>376.08229999999998</v>
      </c>
      <c r="M500" s="52">
        <v>376.08229999999998</v>
      </c>
      <c r="N500" s="5" t="s">
        <v>69</v>
      </c>
    </row>
    <row r="501" spans="1:14" x14ac:dyDescent="0.25">
      <c r="A501" s="51">
        <v>1.29</v>
      </c>
      <c r="B501" s="52">
        <v>7519.2416000000003</v>
      </c>
      <c r="C501" s="52">
        <v>657.84349999999995</v>
      </c>
      <c r="D501" s="52">
        <v>328.92169999999999</v>
      </c>
      <c r="E501" s="52">
        <v>328.92169999999999</v>
      </c>
      <c r="F501" s="52">
        <v>1315.6868999999999</v>
      </c>
      <c r="G501" s="52">
        <v>657.84349999999995</v>
      </c>
      <c r="H501" s="52">
        <v>657.84349999999995</v>
      </c>
      <c r="I501" s="52">
        <v>1315.6868999999999</v>
      </c>
      <c r="J501" s="52">
        <v>376.08229999999998</v>
      </c>
      <c r="K501" s="52">
        <v>1128.2470000000001</v>
      </c>
      <c r="L501" s="52">
        <v>376.08229999999998</v>
      </c>
      <c r="M501" s="52">
        <v>376.08229999999998</v>
      </c>
      <c r="N501" s="5" t="s">
        <v>69</v>
      </c>
    </row>
    <row r="502" spans="1:14" x14ac:dyDescent="0.25">
      <c r="A502" s="51">
        <v>1.2909999999999999</v>
      </c>
      <c r="B502" s="52">
        <v>7523.3212999999996</v>
      </c>
      <c r="C502" s="52">
        <v>658.35339999999997</v>
      </c>
      <c r="D502" s="52">
        <v>329.17669999999998</v>
      </c>
      <c r="E502" s="52">
        <v>329.17669999999998</v>
      </c>
      <c r="F502" s="52">
        <v>1316.7067999999999</v>
      </c>
      <c r="G502" s="52">
        <v>658.35339999999997</v>
      </c>
      <c r="H502" s="52">
        <v>658.35339999999997</v>
      </c>
      <c r="I502" s="52">
        <v>1316.7067999999999</v>
      </c>
      <c r="J502" s="52">
        <v>376.08229999999998</v>
      </c>
      <c r="K502" s="52">
        <v>1128.2470000000001</v>
      </c>
      <c r="L502" s="52">
        <v>376.08229999999998</v>
      </c>
      <c r="M502" s="52">
        <v>376.08229999999998</v>
      </c>
      <c r="N502" s="5" t="s">
        <v>69</v>
      </c>
    </row>
    <row r="503" spans="1:14" x14ac:dyDescent="0.25">
      <c r="A503" s="51">
        <v>1.292</v>
      </c>
      <c r="B503" s="52">
        <v>7527.4008999999996</v>
      </c>
      <c r="C503" s="52">
        <v>658.86339999999996</v>
      </c>
      <c r="D503" s="52">
        <v>329.43169999999998</v>
      </c>
      <c r="E503" s="52">
        <v>329.43169999999998</v>
      </c>
      <c r="F503" s="52">
        <v>1317.7266999999999</v>
      </c>
      <c r="G503" s="52">
        <v>658.86339999999996</v>
      </c>
      <c r="H503" s="52">
        <v>658.86339999999996</v>
      </c>
      <c r="I503" s="52">
        <v>1317.7266999999999</v>
      </c>
      <c r="J503" s="52">
        <v>376.08229999999998</v>
      </c>
      <c r="K503" s="52">
        <v>1128.2470000000001</v>
      </c>
      <c r="L503" s="52">
        <v>376.08229999999998</v>
      </c>
      <c r="M503" s="52">
        <v>376.08229999999998</v>
      </c>
      <c r="N503" s="5" t="s">
        <v>69</v>
      </c>
    </row>
    <row r="504" spans="1:14" x14ac:dyDescent="0.25">
      <c r="A504" s="51">
        <v>1.2929999999999999</v>
      </c>
      <c r="B504" s="52">
        <v>7531.4805999999999</v>
      </c>
      <c r="C504" s="52">
        <v>659.37329999999997</v>
      </c>
      <c r="D504" s="52">
        <v>329.68669999999997</v>
      </c>
      <c r="E504" s="52">
        <v>329.68669999999997</v>
      </c>
      <c r="F504" s="52">
        <v>1318.7465999999999</v>
      </c>
      <c r="G504" s="52">
        <v>659.37329999999997</v>
      </c>
      <c r="H504" s="52">
        <v>659.37329999999997</v>
      </c>
      <c r="I504" s="52">
        <v>1318.7465999999999</v>
      </c>
      <c r="J504" s="52">
        <v>376.08229999999998</v>
      </c>
      <c r="K504" s="52">
        <v>1128.2470000000001</v>
      </c>
      <c r="L504" s="52">
        <v>376.08229999999998</v>
      </c>
      <c r="M504" s="52">
        <v>376.08229999999998</v>
      </c>
      <c r="N504" s="5" t="s">
        <v>69</v>
      </c>
    </row>
    <row r="505" spans="1:14" x14ac:dyDescent="0.25">
      <c r="A505" s="51">
        <v>1.294</v>
      </c>
      <c r="B505" s="52">
        <v>7535.5601999999999</v>
      </c>
      <c r="C505" s="52">
        <v>659.88329999999996</v>
      </c>
      <c r="D505" s="52">
        <v>329.94159999999999</v>
      </c>
      <c r="E505" s="52">
        <v>329.94159999999999</v>
      </c>
      <c r="F505" s="52">
        <v>1319.7665999999999</v>
      </c>
      <c r="G505" s="52">
        <v>659.88329999999996</v>
      </c>
      <c r="H505" s="52">
        <v>659.88329999999996</v>
      </c>
      <c r="I505" s="52">
        <v>1319.7665999999999</v>
      </c>
      <c r="J505" s="52">
        <v>376.08229999999998</v>
      </c>
      <c r="K505" s="52">
        <v>1128.2470000000001</v>
      </c>
      <c r="L505" s="52">
        <v>376.08229999999998</v>
      </c>
      <c r="M505" s="52">
        <v>376.08229999999998</v>
      </c>
      <c r="N505" s="5" t="s">
        <v>69</v>
      </c>
    </row>
    <row r="506" spans="1:14" x14ac:dyDescent="0.25">
      <c r="A506" s="51">
        <v>1.2949999999999999</v>
      </c>
      <c r="B506" s="52">
        <v>7539.6399000000001</v>
      </c>
      <c r="C506" s="52">
        <v>660.39319999999998</v>
      </c>
      <c r="D506" s="52">
        <v>330.19659999999999</v>
      </c>
      <c r="E506" s="52">
        <v>330.19659999999999</v>
      </c>
      <c r="F506" s="52">
        <v>1320.7864999999999</v>
      </c>
      <c r="G506" s="52">
        <v>660.39319999999998</v>
      </c>
      <c r="H506" s="52">
        <v>660.39319999999998</v>
      </c>
      <c r="I506" s="52">
        <v>1320.7864999999999</v>
      </c>
      <c r="J506" s="52">
        <v>376.08229999999998</v>
      </c>
      <c r="K506" s="52">
        <v>1128.2470000000001</v>
      </c>
      <c r="L506" s="52">
        <v>376.08229999999998</v>
      </c>
      <c r="M506" s="52">
        <v>376.08229999999998</v>
      </c>
      <c r="N506" s="5" t="s">
        <v>69</v>
      </c>
    </row>
    <row r="507" spans="1:14" x14ac:dyDescent="0.25">
      <c r="A507" s="51">
        <v>1.296</v>
      </c>
      <c r="B507" s="52">
        <v>7543.7195000000002</v>
      </c>
      <c r="C507" s="52">
        <v>660.90319999999997</v>
      </c>
      <c r="D507" s="52">
        <v>330.45159999999998</v>
      </c>
      <c r="E507" s="52">
        <v>330.45159999999998</v>
      </c>
      <c r="F507" s="52">
        <v>1321.8063999999999</v>
      </c>
      <c r="G507" s="52">
        <v>660.90319999999997</v>
      </c>
      <c r="H507" s="52">
        <v>660.90319999999997</v>
      </c>
      <c r="I507" s="52">
        <v>1321.8063999999999</v>
      </c>
      <c r="J507" s="52">
        <v>376.08229999999998</v>
      </c>
      <c r="K507" s="52">
        <v>1128.2470000000001</v>
      </c>
      <c r="L507" s="52">
        <v>376.08229999999998</v>
      </c>
      <c r="M507" s="52">
        <v>376.08229999999998</v>
      </c>
      <c r="N507" s="5" t="s">
        <v>69</v>
      </c>
    </row>
    <row r="508" spans="1:14" x14ac:dyDescent="0.25">
      <c r="A508" s="51">
        <v>1.2969999999999999</v>
      </c>
      <c r="B508" s="52">
        <v>7547.7992000000004</v>
      </c>
      <c r="C508" s="52">
        <v>661.41309999999999</v>
      </c>
      <c r="D508" s="52">
        <v>330.70659999999998</v>
      </c>
      <c r="E508" s="52">
        <v>330.70659999999998</v>
      </c>
      <c r="F508" s="52">
        <v>1322.8262999999999</v>
      </c>
      <c r="G508" s="52">
        <v>661.41309999999999</v>
      </c>
      <c r="H508" s="52">
        <v>661.41309999999999</v>
      </c>
      <c r="I508" s="52">
        <v>1322.8262999999999</v>
      </c>
      <c r="J508" s="52">
        <v>376.08229999999998</v>
      </c>
      <c r="K508" s="52">
        <v>1128.2470000000001</v>
      </c>
      <c r="L508" s="52">
        <v>376.08229999999998</v>
      </c>
      <c r="M508" s="52">
        <v>376.08229999999998</v>
      </c>
      <c r="N508" s="5" t="s">
        <v>69</v>
      </c>
    </row>
    <row r="509" spans="1:14" x14ac:dyDescent="0.25">
      <c r="A509" s="51">
        <v>1.298</v>
      </c>
      <c r="B509" s="52">
        <v>7551.8788000000004</v>
      </c>
      <c r="C509" s="52">
        <v>661.92309999999998</v>
      </c>
      <c r="D509" s="52">
        <v>330.96159999999998</v>
      </c>
      <c r="E509" s="52">
        <v>330.96159999999998</v>
      </c>
      <c r="F509" s="52">
        <v>1323.8462</v>
      </c>
      <c r="G509" s="52">
        <v>661.92309999999998</v>
      </c>
      <c r="H509" s="52">
        <v>661.92309999999998</v>
      </c>
      <c r="I509" s="52">
        <v>1323.8462</v>
      </c>
      <c r="J509" s="52">
        <v>376.08229999999998</v>
      </c>
      <c r="K509" s="52">
        <v>1128.2470000000001</v>
      </c>
      <c r="L509" s="52">
        <v>376.08229999999998</v>
      </c>
      <c r="M509" s="52">
        <v>376.08229999999998</v>
      </c>
      <c r="N509" s="5" t="s">
        <v>69</v>
      </c>
    </row>
    <row r="510" spans="1:14" x14ac:dyDescent="0.25">
      <c r="A510" s="51">
        <v>1.2989999999999999</v>
      </c>
      <c r="B510" s="52">
        <v>7555.9584999999997</v>
      </c>
      <c r="C510" s="52">
        <v>662.43309999999997</v>
      </c>
      <c r="D510" s="52">
        <v>331.2165</v>
      </c>
      <c r="E510" s="52">
        <v>331.2165</v>
      </c>
      <c r="F510" s="52">
        <v>1324.8661</v>
      </c>
      <c r="G510" s="52">
        <v>662.43309999999997</v>
      </c>
      <c r="H510" s="52">
        <v>662.43309999999997</v>
      </c>
      <c r="I510" s="52">
        <v>1324.8661</v>
      </c>
      <c r="J510" s="52">
        <v>376.08229999999998</v>
      </c>
      <c r="K510" s="52">
        <v>1128.2470000000001</v>
      </c>
      <c r="L510" s="52">
        <v>376.08229999999998</v>
      </c>
      <c r="M510" s="52">
        <v>376.08229999999998</v>
      </c>
      <c r="N510" s="5" t="s">
        <v>69</v>
      </c>
    </row>
    <row r="511" spans="1:14" x14ac:dyDescent="0.25">
      <c r="A511" s="51">
        <v>1.3</v>
      </c>
      <c r="B511" s="52">
        <v>7593.8185999999996</v>
      </c>
      <c r="C511" s="52">
        <v>667.16560000000004</v>
      </c>
      <c r="D511" s="52">
        <v>333.58280000000002</v>
      </c>
      <c r="E511" s="52">
        <v>333.58280000000002</v>
      </c>
      <c r="F511" s="52">
        <v>1334.3312000000001</v>
      </c>
      <c r="G511" s="52">
        <v>667.16560000000004</v>
      </c>
      <c r="H511" s="52">
        <v>667.16560000000004</v>
      </c>
      <c r="I511" s="52">
        <v>1334.3312000000001</v>
      </c>
      <c r="J511" s="52">
        <v>376.08229999999998</v>
      </c>
      <c r="K511" s="52">
        <v>1128.2470000000001</v>
      </c>
      <c r="L511" s="52">
        <v>376.08229999999998</v>
      </c>
      <c r="M511" s="52">
        <v>376.08229999999998</v>
      </c>
      <c r="N511" s="5" t="s">
        <v>69</v>
      </c>
    </row>
    <row r="512" spans="1:14" x14ac:dyDescent="0.25">
      <c r="A512" s="51">
        <v>1.3009999999999999</v>
      </c>
      <c r="B512" s="52">
        <v>7597.9242999999997</v>
      </c>
      <c r="C512" s="52">
        <v>667.67880000000002</v>
      </c>
      <c r="D512" s="52">
        <v>333.83940000000001</v>
      </c>
      <c r="E512" s="52">
        <v>333.83940000000001</v>
      </c>
      <c r="F512" s="52">
        <v>1335.3576</v>
      </c>
      <c r="G512" s="52">
        <v>667.67880000000002</v>
      </c>
      <c r="H512" s="52">
        <v>667.67880000000002</v>
      </c>
      <c r="I512" s="52">
        <v>1335.3576</v>
      </c>
      <c r="J512" s="52">
        <v>376.08229999999998</v>
      </c>
      <c r="K512" s="52">
        <v>1128.2470000000001</v>
      </c>
      <c r="L512" s="52">
        <v>376.08229999999998</v>
      </c>
      <c r="M512" s="52">
        <v>376.08229999999998</v>
      </c>
      <c r="N512" s="5" t="s">
        <v>69</v>
      </c>
    </row>
    <row r="513" spans="1:14" x14ac:dyDescent="0.25">
      <c r="A513" s="51">
        <v>1.302</v>
      </c>
      <c r="B513" s="52">
        <v>7602.0299000000005</v>
      </c>
      <c r="C513" s="52">
        <v>668.19200000000001</v>
      </c>
      <c r="D513" s="52">
        <v>334.096</v>
      </c>
      <c r="E513" s="52">
        <v>334.096</v>
      </c>
      <c r="F513" s="52">
        <v>1336.384</v>
      </c>
      <c r="G513" s="52">
        <v>668.19200000000001</v>
      </c>
      <c r="H513" s="52">
        <v>668.19200000000001</v>
      </c>
      <c r="I513" s="52">
        <v>1336.384</v>
      </c>
      <c r="J513" s="52">
        <v>376.08229999999998</v>
      </c>
      <c r="K513" s="52">
        <v>1128.2470000000001</v>
      </c>
      <c r="L513" s="52">
        <v>376.08229999999998</v>
      </c>
      <c r="M513" s="52">
        <v>376.08229999999998</v>
      </c>
      <c r="N513" s="5" t="s">
        <v>69</v>
      </c>
    </row>
    <row r="514" spans="1:14" x14ac:dyDescent="0.25">
      <c r="A514" s="51">
        <v>1.3029999999999999</v>
      </c>
      <c r="B514" s="52">
        <v>7606.1355000000003</v>
      </c>
      <c r="C514" s="52">
        <v>668.70519999999999</v>
      </c>
      <c r="D514" s="52">
        <v>334.3526</v>
      </c>
      <c r="E514" s="52">
        <v>334.3526</v>
      </c>
      <c r="F514" s="52">
        <v>1337.4104</v>
      </c>
      <c r="G514" s="52">
        <v>668.70519999999999</v>
      </c>
      <c r="H514" s="52">
        <v>668.70519999999999</v>
      </c>
      <c r="I514" s="52">
        <v>1337.4104</v>
      </c>
      <c r="J514" s="52">
        <v>376.08229999999998</v>
      </c>
      <c r="K514" s="52">
        <v>1128.2470000000001</v>
      </c>
      <c r="L514" s="52">
        <v>376.08229999999998</v>
      </c>
      <c r="M514" s="52">
        <v>376.08229999999998</v>
      </c>
      <c r="N514" s="5" t="s">
        <v>69</v>
      </c>
    </row>
    <row r="515" spans="1:14" x14ac:dyDescent="0.25">
      <c r="A515" s="51">
        <v>1.304</v>
      </c>
      <c r="B515" s="52">
        <v>7610.2412000000004</v>
      </c>
      <c r="C515" s="52">
        <v>669.21839999999997</v>
      </c>
      <c r="D515" s="52">
        <v>334.60919999999999</v>
      </c>
      <c r="E515" s="52">
        <v>334.60919999999999</v>
      </c>
      <c r="F515" s="52">
        <v>1338.4367999999999</v>
      </c>
      <c r="G515" s="52">
        <v>669.21839999999997</v>
      </c>
      <c r="H515" s="52">
        <v>669.21839999999997</v>
      </c>
      <c r="I515" s="52">
        <v>1338.4367999999999</v>
      </c>
      <c r="J515" s="52">
        <v>376.08229999999998</v>
      </c>
      <c r="K515" s="52">
        <v>1128.2470000000001</v>
      </c>
      <c r="L515" s="52">
        <v>376.08229999999998</v>
      </c>
      <c r="M515" s="52">
        <v>376.08229999999998</v>
      </c>
      <c r="N515" s="5" t="s">
        <v>69</v>
      </c>
    </row>
    <row r="516" spans="1:14" x14ac:dyDescent="0.25">
      <c r="A516" s="51">
        <v>1.3049999999999999</v>
      </c>
      <c r="B516" s="52">
        <v>7614.3468000000003</v>
      </c>
      <c r="C516" s="52">
        <v>669.73159999999996</v>
      </c>
      <c r="D516" s="52">
        <v>334.86579999999998</v>
      </c>
      <c r="E516" s="52">
        <v>334.86579999999998</v>
      </c>
      <c r="F516" s="52">
        <v>1339.4631999999999</v>
      </c>
      <c r="G516" s="52">
        <v>669.73159999999996</v>
      </c>
      <c r="H516" s="52">
        <v>669.73159999999996</v>
      </c>
      <c r="I516" s="52">
        <v>1339.4631999999999</v>
      </c>
      <c r="J516" s="52">
        <v>376.08229999999998</v>
      </c>
      <c r="K516" s="52">
        <v>1128.2470000000001</v>
      </c>
      <c r="L516" s="52">
        <v>376.08229999999998</v>
      </c>
      <c r="M516" s="52">
        <v>376.08229999999998</v>
      </c>
      <c r="N516" s="5" t="s">
        <v>69</v>
      </c>
    </row>
    <row r="517" spans="1:14" x14ac:dyDescent="0.25">
      <c r="A517" s="51">
        <v>1.306</v>
      </c>
      <c r="B517" s="52">
        <v>7618.4524000000001</v>
      </c>
      <c r="C517" s="52">
        <v>670.24480000000005</v>
      </c>
      <c r="D517" s="52">
        <v>335.12240000000003</v>
      </c>
      <c r="E517" s="52">
        <v>335.12240000000003</v>
      </c>
      <c r="F517" s="52">
        <v>1340.4896000000001</v>
      </c>
      <c r="G517" s="52">
        <v>670.24480000000005</v>
      </c>
      <c r="H517" s="52">
        <v>670.24480000000005</v>
      </c>
      <c r="I517" s="52">
        <v>1340.4896000000001</v>
      </c>
      <c r="J517" s="52">
        <v>376.08229999999998</v>
      </c>
      <c r="K517" s="52">
        <v>1128.2470000000001</v>
      </c>
      <c r="L517" s="52">
        <v>376.08229999999998</v>
      </c>
      <c r="M517" s="52">
        <v>376.08229999999998</v>
      </c>
      <c r="N517" s="5" t="s">
        <v>69</v>
      </c>
    </row>
    <row r="518" spans="1:14" x14ac:dyDescent="0.25">
      <c r="A518" s="51">
        <v>1.3069999999999999</v>
      </c>
      <c r="B518" s="52">
        <v>7622.5581000000002</v>
      </c>
      <c r="C518" s="52">
        <v>670.75800000000004</v>
      </c>
      <c r="D518" s="52">
        <v>335.37900000000002</v>
      </c>
      <c r="E518" s="52">
        <v>335.37900000000002</v>
      </c>
      <c r="F518" s="52">
        <v>1341.5160000000001</v>
      </c>
      <c r="G518" s="52">
        <v>670.75800000000004</v>
      </c>
      <c r="H518" s="52">
        <v>670.75800000000004</v>
      </c>
      <c r="I518" s="52">
        <v>1341.5160000000001</v>
      </c>
      <c r="J518" s="52">
        <v>376.08229999999998</v>
      </c>
      <c r="K518" s="52">
        <v>1128.2470000000001</v>
      </c>
      <c r="L518" s="52">
        <v>376.08229999999998</v>
      </c>
      <c r="M518" s="52">
        <v>376.08229999999998</v>
      </c>
      <c r="N518" s="5" t="s">
        <v>69</v>
      </c>
    </row>
    <row r="519" spans="1:14" x14ac:dyDescent="0.25">
      <c r="A519" s="51">
        <v>1.3080000000000001</v>
      </c>
      <c r="B519" s="52">
        <v>7626.6637000000001</v>
      </c>
      <c r="C519" s="52">
        <v>671.27120000000002</v>
      </c>
      <c r="D519" s="52">
        <v>335.63560000000001</v>
      </c>
      <c r="E519" s="52">
        <v>335.63560000000001</v>
      </c>
      <c r="F519" s="52">
        <v>1342.5424</v>
      </c>
      <c r="G519" s="52">
        <v>671.27120000000002</v>
      </c>
      <c r="H519" s="52">
        <v>671.27120000000002</v>
      </c>
      <c r="I519" s="52">
        <v>1342.5424</v>
      </c>
      <c r="J519" s="52">
        <v>376.08229999999998</v>
      </c>
      <c r="K519" s="52">
        <v>1128.2470000000001</v>
      </c>
      <c r="L519" s="52">
        <v>376.08229999999998</v>
      </c>
      <c r="M519" s="52">
        <v>376.08229999999998</v>
      </c>
      <c r="N519" s="5" t="s">
        <v>69</v>
      </c>
    </row>
    <row r="520" spans="1:14" x14ac:dyDescent="0.25">
      <c r="A520" s="51">
        <v>1.3089999999999999</v>
      </c>
      <c r="B520" s="52">
        <v>7630.7692999999999</v>
      </c>
      <c r="C520" s="52">
        <v>671.78440000000001</v>
      </c>
      <c r="D520" s="52">
        <v>335.8922</v>
      </c>
      <c r="E520" s="52">
        <v>335.8922</v>
      </c>
      <c r="F520" s="52">
        <v>1343.5688</v>
      </c>
      <c r="G520" s="52">
        <v>671.78440000000001</v>
      </c>
      <c r="H520" s="52">
        <v>671.78440000000001</v>
      </c>
      <c r="I520" s="52">
        <v>1343.5688</v>
      </c>
      <c r="J520" s="52">
        <v>376.08229999999998</v>
      </c>
      <c r="K520" s="52">
        <v>1128.2470000000001</v>
      </c>
      <c r="L520" s="52">
        <v>376.08229999999998</v>
      </c>
      <c r="M520" s="52">
        <v>376.08229999999998</v>
      </c>
      <c r="N520" s="5" t="s">
        <v>69</v>
      </c>
    </row>
    <row r="521" spans="1:14" x14ac:dyDescent="0.25">
      <c r="A521" s="51">
        <v>1.31</v>
      </c>
      <c r="B521" s="52">
        <v>7634.875</v>
      </c>
      <c r="C521" s="52">
        <v>672.29759999999999</v>
      </c>
      <c r="D521" s="52">
        <v>336.14879999999999</v>
      </c>
      <c r="E521" s="52">
        <v>336.14879999999999</v>
      </c>
      <c r="F521" s="52">
        <v>1344.5952</v>
      </c>
      <c r="G521" s="52">
        <v>672.29759999999999</v>
      </c>
      <c r="H521" s="52">
        <v>672.29759999999999</v>
      </c>
      <c r="I521" s="52">
        <v>1344.5952</v>
      </c>
      <c r="J521" s="52">
        <v>376.08229999999998</v>
      </c>
      <c r="K521" s="52">
        <v>1128.2470000000001</v>
      </c>
      <c r="L521" s="52">
        <v>376.08229999999998</v>
      </c>
      <c r="M521" s="52">
        <v>376.08229999999998</v>
      </c>
      <c r="N521" s="5" t="s">
        <v>69</v>
      </c>
    </row>
    <row r="522" spans="1:14" x14ac:dyDescent="0.25">
      <c r="A522" s="51">
        <v>1.3109999999999999</v>
      </c>
      <c r="B522" s="52">
        <v>7638.9805999999999</v>
      </c>
      <c r="C522" s="52">
        <v>672.81079999999997</v>
      </c>
      <c r="D522" s="52">
        <v>336.40539999999999</v>
      </c>
      <c r="E522" s="52">
        <v>336.40539999999999</v>
      </c>
      <c r="F522" s="52">
        <v>1345.6216999999999</v>
      </c>
      <c r="G522" s="52">
        <v>672.81079999999997</v>
      </c>
      <c r="H522" s="52">
        <v>672.81079999999997</v>
      </c>
      <c r="I522" s="52">
        <v>1345.6216999999999</v>
      </c>
      <c r="J522" s="52">
        <v>376.08229999999998</v>
      </c>
      <c r="K522" s="52">
        <v>1128.2470000000001</v>
      </c>
      <c r="L522" s="52">
        <v>376.08229999999998</v>
      </c>
      <c r="M522" s="52">
        <v>376.08229999999998</v>
      </c>
      <c r="N522" s="5" t="s">
        <v>69</v>
      </c>
    </row>
    <row r="523" spans="1:14" x14ac:dyDescent="0.25">
      <c r="A523" s="51">
        <v>1.3120000000000001</v>
      </c>
      <c r="B523" s="52">
        <v>7643.0862999999999</v>
      </c>
      <c r="C523" s="52">
        <v>673.32399999999996</v>
      </c>
      <c r="D523" s="52">
        <v>336.66199999999998</v>
      </c>
      <c r="E523" s="52">
        <v>336.66199999999998</v>
      </c>
      <c r="F523" s="52">
        <v>1346.6481000000001</v>
      </c>
      <c r="G523" s="52">
        <v>673.32399999999996</v>
      </c>
      <c r="H523" s="52">
        <v>673.32399999999996</v>
      </c>
      <c r="I523" s="52">
        <v>1346.6481000000001</v>
      </c>
      <c r="J523" s="52">
        <v>376.08229999999998</v>
      </c>
      <c r="K523" s="52">
        <v>1128.2470000000001</v>
      </c>
      <c r="L523" s="52">
        <v>376.08229999999998</v>
      </c>
      <c r="M523" s="52">
        <v>376.08229999999998</v>
      </c>
      <c r="N523" s="5" t="s">
        <v>69</v>
      </c>
    </row>
    <row r="524" spans="1:14" x14ac:dyDescent="0.25">
      <c r="A524" s="51">
        <v>1.3129999999999999</v>
      </c>
      <c r="B524" s="52">
        <v>7647.1918999999998</v>
      </c>
      <c r="C524" s="52">
        <v>673.83720000000005</v>
      </c>
      <c r="D524" s="52">
        <v>336.91860000000003</v>
      </c>
      <c r="E524" s="52">
        <v>336.91860000000003</v>
      </c>
      <c r="F524" s="52">
        <v>1347.6745000000001</v>
      </c>
      <c r="G524" s="52">
        <v>673.83720000000005</v>
      </c>
      <c r="H524" s="52">
        <v>673.83720000000005</v>
      </c>
      <c r="I524" s="52">
        <v>1347.6745000000001</v>
      </c>
      <c r="J524" s="52">
        <v>376.08229999999998</v>
      </c>
      <c r="K524" s="52">
        <v>1128.2470000000001</v>
      </c>
      <c r="L524" s="52">
        <v>376.08229999999998</v>
      </c>
      <c r="M524" s="52">
        <v>376.08229999999998</v>
      </c>
      <c r="N524" s="5" t="s">
        <v>69</v>
      </c>
    </row>
    <row r="525" spans="1:14" x14ac:dyDescent="0.25">
      <c r="A525" s="51">
        <v>1.3140000000000001</v>
      </c>
      <c r="B525" s="52">
        <v>7651.2974999999997</v>
      </c>
      <c r="C525" s="52">
        <v>674.35040000000004</v>
      </c>
      <c r="D525" s="52">
        <v>337.17520000000002</v>
      </c>
      <c r="E525" s="52">
        <v>337.17520000000002</v>
      </c>
      <c r="F525" s="52">
        <v>1348.7009</v>
      </c>
      <c r="G525" s="52">
        <v>674.35040000000004</v>
      </c>
      <c r="H525" s="52">
        <v>674.35040000000004</v>
      </c>
      <c r="I525" s="52">
        <v>1348.7009</v>
      </c>
      <c r="J525" s="52">
        <v>376.08229999999998</v>
      </c>
      <c r="K525" s="52">
        <v>1128.2470000000001</v>
      </c>
      <c r="L525" s="52">
        <v>376.08229999999998</v>
      </c>
      <c r="M525" s="52">
        <v>376.08229999999998</v>
      </c>
      <c r="N525" s="5" t="s">
        <v>69</v>
      </c>
    </row>
    <row r="526" spans="1:14" x14ac:dyDescent="0.25">
      <c r="A526" s="51">
        <v>1.3149999999999999</v>
      </c>
      <c r="B526" s="52">
        <v>7655.4031999999997</v>
      </c>
      <c r="C526" s="52">
        <v>674.86360000000002</v>
      </c>
      <c r="D526" s="52">
        <v>337.43180000000001</v>
      </c>
      <c r="E526" s="52">
        <v>337.43180000000001</v>
      </c>
      <c r="F526" s="52">
        <v>1349.7273</v>
      </c>
      <c r="G526" s="52">
        <v>674.86360000000002</v>
      </c>
      <c r="H526" s="52">
        <v>674.86360000000002</v>
      </c>
      <c r="I526" s="52">
        <v>1349.7273</v>
      </c>
      <c r="J526" s="52">
        <v>376.08229999999998</v>
      </c>
      <c r="K526" s="52">
        <v>1128.2470000000001</v>
      </c>
      <c r="L526" s="52">
        <v>376.08229999999998</v>
      </c>
      <c r="M526" s="52">
        <v>376.08229999999998</v>
      </c>
      <c r="N526" s="5" t="s">
        <v>69</v>
      </c>
    </row>
    <row r="527" spans="1:14" x14ac:dyDescent="0.25">
      <c r="A527" s="51">
        <v>1.3160000000000001</v>
      </c>
      <c r="B527" s="52">
        <v>7659.5087999999996</v>
      </c>
      <c r="C527" s="52">
        <v>675.3768</v>
      </c>
      <c r="D527" s="52">
        <v>337.6884</v>
      </c>
      <c r="E527" s="52">
        <v>337.6884</v>
      </c>
      <c r="F527" s="52">
        <v>1350.7537</v>
      </c>
      <c r="G527" s="52">
        <v>675.3768</v>
      </c>
      <c r="H527" s="52">
        <v>675.3768</v>
      </c>
      <c r="I527" s="52">
        <v>1350.7537</v>
      </c>
      <c r="J527" s="52">
        <v>376.08229999999998</v>
      </c>
      <c r="K527" s="52">
        <v>1128.2470000000001</v>
      </c>
      <c r="L527" s="52">
        <v>376.08229999999998</v>
      </c>
      <c r="M527" s="52">
        <v>376.08229999999998</v>
      </c>
      <c r="N527" s="5" t="s">
        <v>69</v>
      </c>
    </row>
    <row r="528" spans="1:14" x14ac:dyDescent="0.25">
      <c r="A528" s="51">
        <v>1.3169999999999999</v>
      </c>
      <c r="B528" s="52">
        <v>7663.6144000000004</v>
      </c>
      <c r="C528" s="52">
        <v>675.89009999999996</v>
      </c>
      <c r="D528" s="52">
        <v>337.94499999999999</v>
      </c>
      <c r="E528" s="52">
        <v>337.94499999999999</v>
      </c>
      <c r="F528" s="52">
        <v>1351.7800999999999</v>
      </c>
      <c r="G528" s="52">
        <v>675.89009999999996</v>
      </c>
      <c r="H528" s="52">
        <v>675.89009999999996</v>
      </c>
      <c r="I528" s="52">
        <v>1351.7800999999999</v>
      </c>
      <c r="J528" s="52">
        <v>376.08229999999998</v>
      </c>
      <c r="K528" s="52">
        <v>1128.2470000000001</v>
      </c>
      <c r="L528" s="52">
        <v>376.08229999999998</v>
      </c>
      <c r="M528" s="52">
        <v>376.08229999999998</v>
      </c>
      <c r="N528" s="5" t="s">
        <v>69</v>
      </c>
    </row>
    <row r="529" spans="1:14" x14ac:dyDescent="0.25">
      <c r="A529" s="51">
        <v>1.3180000000000001</v>
      </c>
      <c r="B529" s="52">
        <v>7667.7200999999995</v>
      </c>
      <c r="C529" s="52">
        <v>676.40329999999994</v>
      </c>
      <c r="D529" s="52">
        <v>338.20159999999998</v>
      </c>
      <c r="E529" s="52">
        <v>338.20159999999998</v>
      </c>
      <c r="F529" s="52">
        <v>1352.8064999999999</v>
      </c>
      <c r="G529" s="52">
        <v>676.40329999999994</v>
      </c>
      <c r="H529" s="52">
        <v>676.40329999999994</v>
      </c>
      <c r="I529" s="52">
        <v>1352.8064999999999</v>
      </c>
      <c r="J529" s="52">
        <v>376.08229999999998</v>
      </c>
      <c r="K529" s="52">
        <v>1128.2470000000001</v>
      </c>
      <c r="L529" s="52">
        <v>376.08229999999998</v>
      </c>
      <c r="M529" s="52">
        <v>376.08229999999998</v>
      </c>
      <c r="N529" s="5" t="s">
        <v>69</v>
      </c>
    </row>
    <row r="530" spans="1:14" x14ac:dyDescent="0.25">
      <c r="A530" s="51">
        <v>1.319</v>
      </c>
      <c r="B530" s="52">
        <v>7671.8257000000003</v>
      </c>
      <c r="C530" s="52">
        <v>676.91650000000004</v>
      </c>
      <c r="D530" s="52">
        <v>338.45819999999998</v>
      </c>
      <c r="E530" s="52">
        <v>338.45819999999998</v>
      </c>
      <c r="F530" s="52">
        <v>1353.8329000000001</v>
      </c>
      <c r="G530" s="52">
        <v>676.91650000000004</v>
      </c>
      <c r="H530" s="52">
        <v>676.91650000000004</v>
      </c>
      <c r="I530" s="52">
        <v>1353.8329000000001</v>
      </c>
      <c r="J530" s="52">
        <v>376.08229999999998</v>
      </c>
      <c r="K530" s="52">
        <v>1128.2470000000001</v>
      </c>
      <c r="L530" s="52">
        <v>376.08229999999998</v>
      </c>
      <c r="M530" s="52">
        <v>376.08229999999998</v>
      </c>
      <c r="N530" s="5" t="s">
        <v>69</v>
      </c>
    </row>
    <row r="531" spans="1:14" x14ac:dyDescent="0.25">
      <c r="A531" s="51">
        <v>1.32</v>
      </c>
      <c r="B531" s="52">
        <v>7675.9313000000002</v>
      </c>
      <c r="C531" s="52">
        <v>677.42970000000003</v>
      </c>
      <c r="D531" s="52">
        <v>338.71480000000003</v>
      </c>
      <c r="E531" s="52">
        <v>338.71480000000003</v>
      </c>
      <c r="F531" s="52">
        <v>1354.8593000000001</v>
      </c>
      <c r="G531" s="52">
        <v>677.42970000000003</v>
      </c>
      <c r="H531" s="52">
        <v>677.42970000000003</v>
      </c>
      <c r="I531" s="52">
        <v>1354.8593000000001</v>
      </c>
      <c r="J531" s="52">
        <v>376.08229999999998</v>
      </c>
      <c r="K531" s="52">
        <v>1128.2470000000001</v>
      </c>
      <c r="L531" s="52">
        <v>376.08229999999998</v>
      </c>
      <c r="M531" s="52">
        <v>376.08229999999998</v>
      </c>
      <c r="N531" s="5" t="s">
        <v>69</v>
      </c>
    </row>
    <row r="532" spans="1:14" x14ac:dyDescent="0.25">
      <c r="A532" s="51">
        <v>1.321</v>
      </c>
      <c r="B532" s="52">
        <v>7680.0370000000003</v>
      </c>
      <c r="C532" s="52">
        <v>677.94290000000001</v>
      </c>
      <c r="D532" s="52">
        <v>338.97140000000002</v>
      </c>
      <c r="E532" s="52">
        <v>338.97140000000002</v>
      </c>
      <c r="F532" s="52">
        <v>1355.8857</v>
      </c>
      <c r="G532" s="52">
        <v>677.94290000000001</v>
      </c>
      <c r="H532" s="52">
        <v>677.94290000000001</v>
      </c>
      <c r="I532" s="52">
        <v>1355.8857</v>
      </c>
      <c r="J532" s="52">
        <v>376.08229999999998</v>
      </c>
      <c r="K532" s="52">
        <v>1128.2470000000001</v>
      </c>
      <c r="L532" s="52">
        <v>376.08229999999998</v>
      </c>
      <c r="M532" s="52">
        <v>376.08229999999998</v>
      </c>
      <c r="N532" s="5" t="s">
        <v>69</v>
      </c>
    </row>
    <row r="533" spans="1:14" x14ac:dyDescent="0.25">
      <c r="A533" s="51">
        <v>1.3220000000000001</v>
      </c>
      <c r="B533" s="52">
        <v>7684.1426000000001</v>
      </c>
      <c r="C533" s="52">
        <v>678.45609999999999</v>
      </c>
      <c r="D533" s="52">
        <v>339.22800000000001</v>
      </c>
      <c r="E533" s="52">
        <v>339.22800000000001</v>
      </c>
      <c r="F533" s="52">
        <v>1356.9122</v>
      </c>
      <c r="G533" s="52">
        <v>678.45609999999999</v>
      </c>
      <c r="H533" s="52">
        <v>678.45609999999999</v>
      </c>
      <c r="I533" s="52">
        <v>1356.9122</v>
      </c>
      <c r="J533" s="52">
        <v>376.08229999999998</v>
      </c>
      <c r="K533" s="52">
        <v>1128.2470000000001</v>
      </c>
      <c r="L533" s="52">
        <v>376.08229999999998</v>
      </c>
      <c r="M533" s="52">
        <v>376.08229999999998</v>
      </c>
      <c r="N533" s="5" t="s">
        <v>69</v>
      </c>
    </row>
    <row r="534" spans="1:14" x14ac:dyDescent="0.25">
      <c r="A534" s="51">
        <v>1.323</v>
      </c>
      <c r="B534" s="52">
        <v>7688.2482</v>
      </c>
      <c r="C534" s="52">
        <v>678.96929999999998</v>
      </c>
      <c r="D534" s="52">
        <v>339.4846</v>
      </c>
      <c r="E534" s="52">
        <v>339.4846</v>
      </c>
      <c r="F534" s="52">
        <v>1357.9386</v>
      </c>
      <c r="G534" s="52">
        <v>678.96929999999998</v>
      </c>
      <c r="H534" s="52">
        <v>678.96929999999998</v>
      </c>
      <c r="I534" s="52">
        <v>1357.9386</v>
      </c>
      <c r="J534" s="52">
        <v>376.08229999999998</v>
      </c>
      <c r="K534" s="52">
        <v>1128.2470000000001</v>
      </c>
      <c r="L534" s="52">
        <v>376.08229999999998</v>
      </c>
      <c r="M534" s="52">
        <v>376.08229999999998</v>
      </c>
      <c r="N534" s="5" t="s">
        <v>69</v>
      </c>
    </row>
    <row r="535" spans="1:14" x14ac:dyDescent="0.25">
      <c r="A535" s="51">
        <v>1.3240000000000001</v>
      </c>
      <c r="B535" s="52">
        <v>7692.3539000000001</v>
      </c>
      <c r="C535" s="52">
        <v>679.48249999999996</v>
      </c>
      <c r="D535" s="52">
        <v>339.74119999999999</v>
      </c>
      <c r="E535" s="52">
        <v>339.74119999999999</v>
      </c>
      <c r="F535" s="52">
        <v>1358.9649999999999</v>
      </c>
      <c r="G535" s="52">
        <v>679.48249999999996</v>
      </c>
      <c r="H535" s="52">
        <v>679.48249999999996</v>
      </c>
      <c r="I535" s="52">
        <v>1358.9649999999999</v>
      </c>
      <c r="J535" s="52">
        <v>376.08229999999998</v>
      </c>
      <c r="K535" s="52">
        <v>1128.2470000000001</v>
      </c>
      <c r="L535" s="52">
        <v>376.08229999999998</v>
      </c>
      <c r="M535" s="52">
        <v>376.08229999999998</v>
      </c>
      <c r="N535" s="5" t="s">
        <v>69</v>
      </c>
    </row>
    <row r="536" spans="1:14" x14ac:dyDescent="0.25">
      <c r="A536" s="51">
        <v>1.325</v>
      </c>
      <c r="B536" s="52">
        <v>7696.4594999999999</v>
      </c>
      <c r="C536" s="52">
        <v>679.99570000000006</v>
      </c>
      <c r="D536" s="52">
        <v>339.99779999999998</v>
      </c>
      <c r="E536" s="52">
        <v>339.99779999999998</v>
      </c>
      <c r="F536" s="52">
        <v>1359.9914000000001</v>
      </c>
      <c r="G536" s="52">
        <v>679.99570000000006</v>
      </c>
      <c r="H536" s="52">
        <v>679.99570000000006</v>
      </c>
      <c r="I536" s="52">
        <v>1359.9914000000001</v>
      </c>
      <c r="J536" s="52">
        <v>376.08229999999998</v>
      </c>
      <c r="K536" s="52">
        <v>1128.2470000000001</v>
      </c>
      <c r="L536" s="52">
        <v>376.08229999999998</v>
      </c>
      <c r="M536" s="52">
        <v>376.08229999999998</v>
      </c>
      <c r="N536" s="5" t="s">
        <v>69</v>
      </c>
    </row>
    <row r="537" spans="1:14" x14ac:dyDescent="0.25">
      <c r="A537" s="51">
        <v>1.3260000000000001</v>
      </c>
      <c r="B537" s="52">
        <v>7700.5650999999998</v>
      </c>
      <c r="C537" s="52">
        <v>680.50890000000004</v>
      </c>
      <c r="D537" s="52">
        <v>340.25439999999998</v>
      </c>
      <c r="E537" s="52">
        <v>340.25439999999998</v>
      </c>
      <c r="F537" s="52">
        <v>1361.0178000000001</v>
      </c>
      <c r="G537" s="52">
        <v>680.50890000000004</v>
      </c>
      <c r="H537" s="52">
        <v>680.50890000000004</v>
      </c>
      <c r="I537" s="52">
        <v>1361.0178000000001</v>
      </c>
      <c r="J537" s="52">
        <v>376.08229999999998</v>
      </c>
      <c r="K537" s="52">
        <v>1128.2470000000001</v>
      </c>
      <c r="L537" s="52">
        <v>376.08229999999998</v>
      </c>
      <c r="M537" s="52">
        <v>376.08229999999998</v>
      </c>
      <c r="N537" s="5" t="s">
        <v>69</v>
      </c>
    </row>
    <row r="538" spans="1:14" x14ac:dyDescent="0.25">
      <c r="A538" s="51">
        <v>1.327</v>
      </c>
      <c r="B538" s="52">
        <v>7704.6707999999999</v>
      </c>
      <c r="C538" s="52">
        <v>681.02210000000002</v>
      </c>
      <c r="D538" s="52">
        <v>340.51100000000002</v>
      </c>
      <c r="E538" s="52">
        <v>340.51100000000002</v>
      </c>
      <c r="F538" s="52">
        <v>1362.0442</v>
      </c>
      <c r="G538" s="52">
        <v>681.02210000000002</v>
      </c>
      <c r="H538" s="52">
        <v>681.02210000000002</v>
      </c>
      <c r="I538" s="52">
        <v>1362.0442</v>
      </c>
      <c r="J538" s="52">
        <v>376.08229999999998</v>
      </c>
      <c r="K538" s="52">
        <v>1128.2470000000001</v>
      </c>
      <c r="L538" s="52">
        <v>376.08229999999998</v>
      </c>
      <c r="M538" s="52">
        <v>376.08229999999998</v>
      </c>
      <c r="N538" s="5" t="s">
        <v>69</v>
      </c>
    </row>
    <row r="539" spans="1:14" x14ac:dyDescent="0.25">
      <c r="A539" s="51">
        <v>1.3280000000000001</v>
      </c>
      <c r="B539" s="52">
        <v>7708.7763999999997</v>
      </c>
      <c r="C539" s="52">
        <v>681.53530000000001</v>
      </c>
      <c r="D539" s="52">
        <v>340.76769999999999</v>
      </c>
      <c r="E539" s="52">
        <v>340.76769999999999</v>
      </c>
      <c r="F539" s="52">
        <v>1363.0706</v>
      </c>
      <c r="G539" s="52">
        <v>681.53530000000001</v>
      </c>
      <c r="H539" s="52">
        <v>681.53530000000001</v>
      </c>
      <c r="I539" s="52">
        <v>1363.0706</v>
      </c>
      <c r="J539" s="52">
        <v>376.08229999999998</v>
      </c>
      <c r="K539" s="52">
        <v>1128.2470000000001</v>
      </c>
      <c r="L539" s="52">
        <v>376.08229999999998</v>
      </c>
      <c r="M539" s="52">
        <v>376.08229999999998</v>
      </c>
      <c r="N539" s="5" t="s">
        <v>69</v>
      </c>
    </row>
    <row r="540" spans="1:14" x14ac:dyDescent="0.25">
      <c r="A540" s="51">
        <v>1.329</v>
      </c>
      <c r="B540" s="52">
        <v>7712.8819999999996</v>
      </c>
      <c r="C540" s="52">
        <v>682.04849999999999</v>
      </c>
      <c r="D540" s="52">
        <v>341.02429999999998</v>
      </c>
      <c r="E540" s="52">
        <v>341.02429999999998</v>
      </c>
      <c r="F540" s="52">
        <v>1364.097</v>
      </c>
      <c r="G540" s="52">
        <v>682.04849999999999</v>
      </c>
      <c r="H540" s="52">
        <v>682.04849999999999</v>
      </c>
      <c r="I540" s="52">
        <v>1364.097</v>
      </c>
      <c r="J540" s="52">
        <v>376.08229999999998</v>
      </c>
      <c r="K540" s="52">
        <v>1128.2470000000001</v>
      </c>
      <c r="L540" s="52">
        <v>376.08229999999998</v>
      </c>
      <c r="M540" s="52">
        <v>376.08229999999998</v>
      </c>
      <c r="N540" s="5" t="s">
        <v>69</v>
      </c>
    </row>
    <row r="541" spans="1:14" x14ac:dyDescent="0.25">
      <c r="A541" s="51">
        <v>1.33</v>
      </c>
      <c r="B541" s="52">
        <v>7716.9876999999997</v>
      </c>
      <c r="C541" s="52">
        <v>682.56169999999997</v>
      </c>
      <c r="D541" s="52">
        <v>341.28089999999997</v>
      </c>
      <c r="E541" s="52">
        <v>341.28089999999997</v>
      </c>
      <c r="F541" s="52">
        <v>1365.1233999999999</v>
      </c>
      <c r="G541" s="52">
        <v>682.56169999999997</v>
      </c>
      <c r="H541" s="52">
        <v>682.56169999999997</v>
      </c>
      <c r="I541" s="52">
        <v>1365.1233999999999</v>
      </c>
      <c r="J541" s="52">
        <v>376.08229999999998</v>
      </c>
      <c r="K541" s="52">
        <v>1128.2470000000001</v>
      </c>
      <c r="L541" s="52">
        <v>376.08229999999998</v>
      </c>
      <c r="M541" s="52">
        <v>376.08229999999998</v>
      </c>
      <c r="N541" s="5" t="s">
        <v>69</v>
      </c>
    </row>
    <row r="542" spans="1:14" x14ac:dyDescent="0.25">
      <c r="A542" s="51">
        <v>1.331</v>
      </c>
      <c r="B542" s="52">
        <v>7721.0933000000005</v>
      </c>
      <c r="C542" s="52">
        <v>683.07489999999996</v>
      </c>
      <c r="D542" s="52">
        <v>341.53750000000002</v>
      </c>
      <c r="E542" s="52">
        <v>341.53750000000002</v>
      </c>
      <c r="F542" s="52">
        <v>1366.1497999999999</v>
      </c>
      <c r="G542" s="52">
        <v>683.07489999999996</v>
      </c>
      <c r="H542" s="52">
        <v>683.07489999999996</v>
      </c>
      <c r="I542" s="52">
        <v>1366.1497999999999</v>
      </c>
      <c r="J542" s="52">
        <v>376.08229999999998</v>
      </c>
      <c r="K542" s="52">
        <v>1128.2470000000001</v>
      </c>
      <c r="L542" s="52">
        <v>376.08229999999998</v>
      </c>
      <c r="M542" s="52">
        <v>376.08229999999998</v>
      </c>
      <c r="N542" s="5" t="s">
        <v>69</v>
      </c>
    </row>
    <row r="543" spans="1:14" x14ac:dyDescent="0.25">
      <c r="A543" s="51">
        <v>1.3320000000000001</v>
      </c>
      <c r="B543" s="52">
        <v>7725.1989000000003</v>
      </c>
      <c r="C543" s="52">
        <v>683.58810000000005</v>
      </c>
      <c r="D543" s="52">
        <v>341.79410000000001</v>
      </c>
      <c r="E543" s="52">
        <v>341.79410000000001</v>
      </c>
      <c r="F543" s="52">
        <v>1367.1762000000001</v>
      </c>
      <c r="G543" s="52">
        <v>683.58810000000005</v>
      </c>
      <c r="H543" s="52">
        <v>683.58810000000005</v>
      </c>
      <c r="I543" s="52">
        <v>1367.1762000000001</v>
      </c>
      <c r="J543" s="52">
        <v>376.08229999999998</v>
      </c>
      <c r="K543" s="52">
        <v>1128.2470000000001</v>
      </c>
      <c r="L543" s="52">
        <v>376.08229999999998</v>
      </c>
      <c r="M543" s="52">
        <v>376.08229999999998</v>
      </c>
      <c r="N543" s="5" t="s">
        <v>69</v>
      </c>
    </row>
    <row r="544" spans="1:14" x14ac:dyDescent="0.25">
      <c r="A544" s="51">
        <v>1.333</v>
      </c>
      <c r="B544" s="52">
        <v>7729.3046000000004</v>
      </c>
      <c r="C544" s="52">
        <v>684.10130000000004</v>
      </c>
      <c r="D544" s="52">
        <v>342.05070000000001</v>
      </c>
      <c r="E544" s="52">
        <v>342.05070000000001</v>
      </c>
      <c r="F544" s="52">
        <v>1368.2026000000001</v>
      </c>
      <c r="G544" s="52">
        <v>684.10130000000004</v>
      </c>
      <c r="H544" s="52">
        <v>684.10130000000004</v>
      </c>
      <c r="I544" s="52">
        <v>1368.2026000000001</v>
      </c>
      <c r="J544" s="52">
        <v>376.08229999999998</v>
      </c>
      <c r="K544" s="52">
        <v>1128.2470000000001</v>
      </c>
      <c r="L544" s="52">
        <v>376.08229999999998</v>
      </c>
      <c r="M544" s="52">
        <v>376.08229999999998</v>
      </c>
      <c r="N544" s="5" t="s">
        <v>69</v>
      </c>
    </row>
    <row r="545" spans="1:14" x14ac:dyDescent="0.25">
      <c r="A545" s="51">
        <v>1.3340000000000001</v>
      </c>
      <c r="B545" s="52">
        <v>7733.4102000000003</v>
      </c>
      <c r="C545" s="52">
        <v>684.61450000000002</v>
      </c>
      <c r="D545" s="52">
        <v>342.3073</v>
      </c>
      <c r="E545" s="52">
        <v>342.3073</v>
      </c>
      <c r="F545" s="52">
        <v>1369.2291</v>
      </c>
      <c r="G545" s="52">
        <v>684.61450000000002</v>
      </c>
      <c r="H545" s="52">
        <v>684.61450000000002</v>
      </c>
      <c r="I545" s="52">
        <v>1369.2291</v>
      </c>
      <c r="J545" s="52">
        <v>376.08229999999998</v>
      </c>
      <c r="K545" s="52">
        <v>1128.2470000000001</v>
      </c>
      <c r="L545" s="52">
        <v>376.08229999999998</v>
      </c>
      <c r="M545" s="52">
        <v>376.08229999999998</v>
      </c>
      <c r="N545" s="5" t="s">
        <v>69</v>
      </c>
    </row>
    <row r="546" spans="1:14" x14ac:dyDescent="0.25">
      <c r="A546" s="51">
        <v>1.335</v>
      </c>
      <c r="B546" s="52">
        <v>7737.5158000000001</v>
      </c>
      <c r="C546" s="52">
        <v>685.1277</v>
      </c>
      <c r="D546" s="52">
        <v>342.56389999999999</v>
      </c>
      <c r="E546" s="52">
        <v>342.56389999999999</v>
      </c>
      <c r="F546" s="52">
        <v>1370.2555</v>
      </c>
      <c r="G546" s="52">
        <v>685.1277</v>
      </c>
      <c r="H546" s="52">
        <v>685.1277</v>
      </c>
      <c r="I546" s="52">
        <v>1370.2555</v>
      </c>
      <c r="J546" s="52">
        <v>376.08229999999998</v>
      </c>
      <c r="K546" s="52">
        <v>1128.2470000000001</v>
      </c>
      <c r="L546" s="52">
        <v>376.08229999999998</v>
      </c>
      <c r="M546" s="52">
        <v>376.08229999999998</v>
      </c>
      <c r="N546" s="5" t="s">
        <v>69</v>
      </c>
    </row>
    <row r="547" spans="1:14" x14ac:dyDescent="0.25">
      <c r="A547" s="51">
        <v>1.3360000000000001</v>
      </c>
      <c r="B547" s="52">
        <v>7741.6215000000002</v>
      </c>
      <c r="C547" s="52">
        <v>685.64089999999999</v>
      </c>
      <c r="D547" s="52">
        <v>342.82049999999998</v>
      </c>
      <c r="E547" s="52">
        <v>342.82049999999998</v>
      </c>
      <c r="F547" s="52">
        <v>1371.2819</v>
      </c>
      <c r="G547" s="52">
        <v>685.64089999999999</v>
      </c>
      <c r="H547" s="52">
        <v>685.64089999999999</v>
      </c>
      <c r="I547" s="52">
        <v>1371.2819</v>
      </c>
      <c r="J547" s="52">
        <v>376.08229999999998</v>
      </c>
      <c r="K547" s="52">
        <v>1128.2470000000001</v>
      </c>
      <c r="L547" s="52">
        <v>376.08229999999998</v>
      </c>
      <c r="M547" s="52">
        <v>376.08229999999998</v>
      </c>
      <c r="N547" s="5" t="s">
        <v>69</v>
      </c>
    </row>
    <row r="548" spans="1:14" x14ac:dyDescent="0.25">
      <c r="A548" s="51">
        <v>1.337</v>
      </c>
      <c r="B548" s="52">
        <v>7745.7271000000001</v>
      </c>
      <c r="C548" s="52">
        <v>686.15409999999997</v>
      </c>
      <c r="D548" s="52">
        <v>343.07709999999997</v>
      </c>
      <c r="E548" s="52">
        <v>343.07709999999997</v>
      </c>
      <c r="F548" s="52">
        <v>1372.3082999999999</v>
      </c>
      <c r="G548" s="52">
        <v>686.15409999999997</v>
      </c>
      <c r="H548" s="52">
        <v>686.15409999999997</v>
      </c>
      <c r="I548" s="52">
        <v>1372.3082999999999</v>
      </c>
      <c r="J548" s="52">
        <v>376.08229999999998</v>
      </c>
      <c r="K548" s="52">
        <v>1128.2470000000001</v>
      </c>
      <c r="L548" s="52">
        <v>376.08229999999998</v>
      </c>
      <c r="M548" s="52">
        <v>376.08229999999998</v>
      </c>
      <c r="N548" s="5" t="s">
        <v>69</v>
      </c>
    </row>
    <row r="549" spans="1:14" x14ac:dyDescent="0.25">
      <c r="A549" s="51">
        <v>1.3380000000000001</v>
      </c>
      <c r="B549" s="52">
        <v>7749.8326999999999</v>
      </c>
      <c r="C549" s="52">
        <v>686.66729999999995</v>
      </c>
      <c r="D549" s="52">
        <v>343.33370000000002</v>
      </c>
      <c r="E549" s="52">
        <v>343.33370000000002</v>
      </c>
      <c r="F549" s="52">
        <v>1373.3347000000001</v>
      </c>
      <c r="G549" s="52">
        <v>686.66729999999995</v>
      </c>
      <c r="H549" s="52">
        <v>686.66729999999995</v>
      </c>
      <c r="I549" s="52">
        <v>1373.3347000000001</v>
      </c>
      <c r="J549" s="52">
        <v>376.08229999999998</v>
      </c>
      <c r="K549" s="52">
        <v>1128.2470000000001</v>
      </c>
      <c r="L549" s="52">
        <v>376.08229999999998</v>
      </c>
      <c r="M549" s="52">
        <v>376.08229999999998</v>
      </c>
      <c r="N549" s="5" t="s">
        <v>69</v>
      </c>
    </row>
    <row r="550" spans="1:14" x14ac:dyDescent="0.25">
      <c r="A550" s="51">
        <v>1.339</v>
      </c>
      <c r="B550" s="52">
        <v>7753.9384</v>
      </c>
      <c r="C550" s="52">
        <v>687.18050000000005</v>
      </c>
      <c r="D550" s="52">
        <v>343.59030000000001</v>
      </c>
      <c r="E550" s="52">
        <v>343.59030000000001</v>
      </c>
      <c r="F550" s="52">
        <v>1374.3611000000001</v>
      </c>
      <c r="G550" s="52">
        <v>687.18050000000005</v>
      </c>
      <c r="H550" s="52">
        <v>687.18050000000005</v>
      </c>
      <c r="I550" s="52">
        <v>1374.3611000000001</v>
      </c>
      <c r="J550" s="52">
        <v>376.08229999999998</v>
      </c>
      <c r="K550" s="52">
        <v>1128.2470000000001</v>
      </c>
      <c r="L550" s="52">
        <v>376.08229999999998</v>
      </c>
      <c r="M550" s="52">
        <v>376.08229999999998</v>
      </c>
      <c r="N550" s="5" t="s">
        <v>69</v>
      </c>
    </row>
    <row r="551" spans="1:14" x14ac:dyDescent="0.25">
      <c r="A551" s="51">
        <v>1.34</v>
      </c>
      <c r="B551" s="52">
        <v>7758.0439999999999</v>
      </c>
      <c r="C551" s="52">
        <v>687.69380000000001</v>
      </c>
      <c r="D551" s="52">
        <v>343.84690000000001</v>
      </c>
      <c r="E551" s="52">
        <v>343.84690000000001</v>
      </c>
      <c r="F551" s="52">
        <v>1375.3875</v>
      </c>
      <c r="G551" s="52">
        <v>687.69380000000001</v>
      </c>
      <c r="H551" s="52">
        <v>687.69380000000001</v>
      </c>
      <c r="I551" s="52">
        <v>1375.3875</v>
      </c>
      <c r="J551" s="52">
        <v>376.08229999999998</v>
      </c>
      <c r="K551" s="52">
        <v>1128.2470000000001</v>
      </c>
      <c r="L551" s="52">
        <v>376.08229999999998</v>
      </c>
      <c r="M551" s="52">
        <v>376.08229999999998</v>
      </c>
      <c r="N551" s="5" t="s">
        <v>69</v>
      </c>
    </row>
    <row r="552" spans="1:14" x14ac:dyDescent="0.25">
      <c r="A552" s="51">
        <v>1.341</v>
      </c>
      <c r="B552" s="52">
        <v>7762.1495999999997</v>
      </c>
      <c r="C552" s="52">
        <v>688.20699999999999</v>
      </c>
      <c r="D552" s="52">
        <v>344.1035</v>
      </c>
      <c r="E552" s="52">
        <v>344.1035</v>
      </c>
      <c r="F552" s="52">
        <v>1376.4139</v>
      </c>
      <c r="G552" s="52">
        <v>688.20699999999999</v>
      </c>
      <c r="H552" s="52">
        <v>688.20699999999999</v>
      </c>
      <c r="I552" s="52">
        <v>1376.4139</v>
      </c>
      <c r="J552" s="52">
        <v>376.08229999999998</v>
      </c>
      <c r="K552" s="52">
        <v>1128.2470000000001</v>
      </c>
      <c r="L552" s="52">
        <v>376.08229999999998</v>
      </c>
      <c r="M552" s="52">
        <v>376.08229999999998</v>
      </c>
      <c r="N552" s="5" t="s">
        <v>69</v>
      </c>
    </row>
    <row r="553" spans="1:14" x14ac:dyDescent="0.25">
      <c r="A553" s="51">
        <v>1.3420000000000001</v>
      </c>
      <c r="B553" s="52">
        <v>7766.2552999999998</v>
      </c>
      <c r="C553" s="52">
        <v>688.72019999999998</v>
      </c>
      <c r="D553" s="52">
        <v>344.36009999999999</v>
      </c>
      <c r="E553" s="52">
        <v>344.36009999999999</v>
      </c>
      <c r="F553" s="52">
        <v>1377.4403</v>
      </c>
      <c r="G553" s="52">
        <v>688.72019999999998</v>
      </c>
      <c r="H553" s="52">
        <v>688.72019999999998</v>
      </c>
      <c r="I553" s="52">
        <v>1377.4403</v>
      </c>
      <c r="J553" s="52">
        <v>376.08229999999998</v>
      </c>
      <c r="K553" s="52">
        <v>1128.2470000000001</v>
      </c>
      <c r="L553" s="52">
        <v>376.08229999999998</v>
      </c>
      <c r="M553" s="52">
        <v>376.08229999999998</v>
      </c>
      <c r="N553" s="5" t="s">
        <v>69</v>
      </c>
    </row>
    <row r="554" spans="1:14" x14ac:dyDescent="0.25">
      <c r="A554" s="51">
        <v>1.343</v>
      </c>
      <c r="B554" s="52">
        <v>7770.3608999999997</v>
      </c>
      <c r="C554" s="52">
        <v>689.23339999999996</v>
      </c>
      <c r="D554" s="52">
        <v>344.61669999999998</v>
      </c>
      <c r="E554" s="52">
        <v>344.61669999999998</v>
      </c>
      <c r="F554" s="52">
        <v>1378.4666999999999</v>
      </c>
      <c r="G554" s="52">
        <v>689.23339999999996</v>
      </c>
      <c r="H554" s="52">
        <v>689.23339999999996</v>
      </c>
      <c r="I554" s="52">
        <v>1378.4666999999999</v>
      </c>
      <c r="J554" s="52">
        <v>376.08229999999998</v>
      </c>
      <c r="K554" s="52">
        <v>1128.2470000000001</v>
      </c>
      <c r="L554" s="52">
        <v>376.08229999999998</v>
      </c>
      <c r="M554" s="52">
        <v>376.08229999999998</v>
      </c>
      <c r="N554" s="5" t="s">
        <v>69</v>
      </c>
    </row>
    <row r="555" spans="1:14" x14ac:dyDescent="0.25">
      <c r="A555" s="51">
        <v>1.3440000000000001</v>
      </c>
      <c r="B555" s="52">
        <v>7774.4665999999997</v>
      </c>
      <c r="C555" s="52">
        <v>689.74659999999994</v>
      </c>
      <c r="D555" s="52">
        <v>344.87329999999997</v>
      </c>
      <c r="E555" s="52">
        <v>344.87329999999997</v>
      </c>
      <c r="F555" s="52">
        <v>1379.4930999999999</v>
      </c>
      <c r="G555" s="52">
        <v>689.74659999999994</v>
      </c>
      <c r="H555" s="52">
        <v>689.74659999999994</v>
      </c>
      <c r="I555" s="52">
        <v>1379.4930999999999</v>
      </c>
      <c r="J555" s="52">
        <v>376.08229999999998</v>
      </c>
      <c r="K555" s="52">
        <v>1128.2470000000001</v>
      </c>
      <c r="L555" s="52">
        <v>376.08229999999998</v>
      </c>
      <c r="M555" s="52">
        <v>376.08229999999998</v>
      </c>
      <c r="N555" s="5" t="s">
        <v>69</v>
      </c>
    </row>
    <row r="556" spans="1:14" x14ac:dyDescent="0.25">
      <c r="A556" s="51">
        <v>1.345</v>
      </c>
      <c r="B556" s="52">
        <v>7778.5721999999996</v>
      </c>
      <c r="C556" s="52">
        <v>690.25980000000004</v>
      </c>
      <c r="D556" s="52">
        <v>345.12990000000002</v>
      </c>
      <c r="E556" s="52">
        <v>345.12990000000002</v>
      </c>
      <c r="F556" s="52">
        <v>1380.5195000000001</v>
      </c>
      <c r="G556" s="52">
        <v>690.25980000000004</v>
      </c>
      <c r="H556" s="52">
        <v>690.25980000000004</v>
      </c>
      <c r="I556" s="52">
        <v>1380.5195000000001</v>
      </c>
      <c r="J556" s="52">
        <v>376.08229999999998</v>
      </c>
      <c r="K556" s="52">
        <v>1128.2470000000001</v>
      </c>
      <c r="L556" s="52">
        <v>376.08229999999998</v>
      </c>
      <c r="M556" s="52">
        <v>376.08229999999998</v>
      </c>
      <c r="N556" s="5" t="s">
        <v>69</v>
      </c>
    </row>
    <row r="557" spans="1:14" x14ac:dyDescent="0.25">
      <c r="A557" s="51">
        <v>1.3460000000000001</v>
      </c>
      <c r="B557" s="52">
        <v>7782.6778000000004</v>
      </c>
      <c r="C557" s="52">
        <v>690.77300000000002</v>
      </c>
      <c r="D557" s="52">
        <v>345.38650000000001</v>
      </c>
      <c r="E557" s="52">
        <v>345.38650000000001</v>
      </c>
      <c r="F557" s="52">
        <v>1381.546</v>
      </c>
      <c r="G557" s="52">
        <v>690.77300000000002</v>
      </c>
      <c r="H557" s="52">
        <v>690.77300000000002</v>
      </c>
      <c r="I557" s="52">
        <v>1381.546</v>
      </c>
      <c r="J557" s="52">
        <v>376.08229999999998</v>
      </c>
      <c r="K557" s="52">
        <v>1128.2470000000001</v>
      </c>
      <c r="L557" s="52">
        <v>376.08229999999998</v>
      </c>
      <c r="M557" s="52">
        <v>376.08229999999998</v>
      </c>
      <c r="N557" s="5" t="s">
        <v>69</v>
      </c>
    </row>
    <row r="558" spans="1:14" x14ac:dyDescent="0.25">
      <c r="A558" s="51">
        <v>1.347</v>
      </c>
      <c r="B558" s="52">
        <v>7786.7834999999995</v>
      </c>
      <c r="C558" s="52">
        <v>691.28620000000001</v>
      </c>
      <c r="D558" s="52">
        <v>345.6431</v>
      </c>
      <c r="E558" s="52">
        <v>345.6431</v>
      </c>
      <c r="F558" s="52">
        <v>1382.5724</v>
      </c>
      <c r="G558" s="52">
        <v>691.28620000000001</v>
      </c>
      <c r="H558" s="52">
        <v>691.28620000000001</v>
      </c>
      <c r="I558" s="52">
        <v>1382.5724</v>
      </c>
      <c r="J558" s="52">
        <v>376.08229999999998</v>
      </c>
      <c r="K558" s="52">
        <v>1128.2470000000001</v>
      </c>
      <c r="L558" s="52">
        <v>376.08229999999998</v>
      </c>
      <c r="M558" s="52">
        <v>376.08229999999998</v>
      </c>
      <c r="N558" s="5" t="s">
        <v>69</v>
      </c>
    </row>
    <row r="559" spans="1:14" x14ac:dyDescent="0.25">
      <c r="A559" s="51">
        <v>1.3480000000000001</v>
      </c>
      <c r="B559" s="52">
        <v>7790.8891000000003</v>
      </c>
      <c r="C559" s="52">
        <v>691.79939999999999</v>
      </c>
      <c r="D559" s="52">
        <v>345.8997</v>
      </c>
      <c r="E559" s="52">
        <v>345.8997</v>
      </c>
      <c r="F559" s="52">
        <v>1383.5988</v>
      </c>
      <c r="G559" s="52">
        <v>691.79939999999999</v>
      </c>
      <c r="H559" s="52">
        <v>691.79939999999999</v>
      </c>
      <c r="I559" s="52">
        <v>1383.5988</v>
      </c>
      <c r="J559" s="52">
        <v>376.08229999999998</v>
      </c>
      <c r="K559" s="52">
        <v>1128.2470000000001</v>
      </c>
      <c r="L559" s="52">
        <v>376.08229999999998</v>
      </c>
      <c r="M559" s="52">
        <v>376.08229999999998</v>
      </c>
      <c r="N559" s="5" t="s">
        <v>69</v>
      </c>
    </row>
    <row r="560" spans="1:14" x14ac:dyDescent="0.25">
      <c r="A560" s="51">
        <v>1.349</v>
      </c>
      <c r="B560" s="52">
        <v>7794.9947000000002</v>
      </c>
      <c r="C560" s="52">
        <v>692.31259999999997</v>
      </c>
      <c r="D560" s="52">
        <v>346.15629999999999</v>
      </c>
      <c r="E560" s="52">
        <v>346.15629999999999</v>
      </c>
      <c r="F560" s="52">
        <v>1384.6251999999999</v>
      </c>
      <c r="G560" s="52">
        <v>692.31259999999997</v>
      </c>
      <c r="H560" s="52">
        <v>692.31259999999997</v>
      </c>
      <c r="I560" s="52">
        <v>1384.6251999999999</v>
      </c>
      <c r="J560" s="52">
        <v>376.08229999999998</v>
      </c>
      <c r="K560" s="52">
        <v>1128.2470000000001</v>
      </c>
      <c r="L560" s="52">
        <v>376.08229999999998</v>
      </c>
      <c r="M560" s="52">
        <v>376.08229999999998</v>
      </c>
      <c r="N560" s="5" t="s">
        <v>69</v>
      </c>
    </row>
    <row r="561" spans="1:14" x14ac:dyDescent="0.25">
      <c r="A561" s="51">
        <v>1.35</v>
      </c>
      <c r="B561" s="52">
        <v>7799.1004000000003</v>
      </c>
      <c r="C561" s="52">
        <v>692.82579999999996</v>
      </c>
      <c r="D561" s="52">
        <v>346.41289999999998</v>
      </c>
      <c r="E561" s="52">
        <v>346.41289999999998</v>
      </c>
      <c r="F561" s="52">
        <v>1385.6515999999999</v>
      </c>
      <c r="G561" s="52">
        <v>692.82579999999996</v>
      </c>
      <c r="H561" s="52">
        <v>692.82579999999996</v>
      </c>
      <c r="I561" s="52">
        <v>1385.6515999999999</v>
      </c>
      <c r="J561" s="52">
        <v>376.08229999999998</v>
      </c>
      <c r="K561" s="52">
        <v>1128.2470000000001</v>
      </c>
      <c r="L561" s="52">
        <v>376.08229999999998</v>
      </c>
      <c r="M561" s="52">
        <v>376.08229999999998</v>
      </c>
      <c r="N561" s="5" t="s">
        <v>69</v>
      </c>
    </row>
    <row r="562" spans="1:14" x14ac:dyDescent="0.25">
      <c r="A562" s="51">
        <v>1.351</v>
      </c>
      <c r="B562" s="52">
        <v>7803.2060000000001</v>
      </c>
      <c r="C562" s="52">
        <v>693.33900000000006</v>
      </c>
      <c r="D562" s="52">
        <v>346.66950000000003</v>
      </c>
      <c r="E562" s="52">
        <v>346.66950000000003</v>
      </c>
      <c r="F562" s="52">
        <v>1386.6780000000001</v>
      </c>
      <c r="G562" s="52">
        <v>693.33900000000006</v>
      </c>
      <c r="H562" s="52">
        <v>693.33900000000006</v>
      </c>
      <c r="I562" s="52">
        <v>1386.6780000000001</v>
      </c>
      <c r="J562" s="52">
        <v>376.08229999999998</v>
      </c>
      <c r="K562" s="52">
        <v>1128.2470000000001</v>
      </c>
      <c r="L562" s="52">
        <v>376.08229999999998</v>
      </c>
      <c r="M562" s="52">
        <v>376.08229999999998</v>
      </c>
      <c r="N562" s="5" t="s">
        <v>69</v>
      </c>
    </row>
    <row r="563" spans="1:14" x14ac:dyDescent="0.25">
      <c r="A563" s="51">
        <v>1.3520000000000001</v>
      </c>
      <c r="B563" s="52">
        <v>7807.3116</v>
      </c>
      <c r="C563" s="52">
        <v>693.85220000000004</v>
      </c>
      <c r="D563" s="52">
        <v>346.92610000000002</v>
      </c>
      <c r="E563" s="52">
        <v>346.92610000000002</v>
      </c>
      <c r="F563" s="52">
        <v>1387.7044000000001</v>
      </c>
      <c r="G563" s="52">
        <v>693.85220000000004</v>
      </c>
      <c r="H563" s="52">
        <v>693.85220000000004</v>
      </c>
      <c r="I563" s="52">
        <v>1387.7044000000001</v>
      </c>
      <c r="J563" s="52">
        <v>376.08229999999998</v>
      </c>
      <c r="K563" s="52">
        <v>1128.2470000000001</v>
      </c>
      <c r="L563" s="52">
        <v>376.08229999999998</v>
      </c>
      <c r="M563" s="52">
        <v>376.08229999999998</v>
      </c>
      <c r="N563" s="5" t="s">
        <v>69</v>
      </c>
    </row>
    <row r="564" spans="1:14" x14ac:dyDescent="0.25">
      <c r="A564" s="51">
        <v>1.353</v>
      </c>
      <c r="B564" s="52">
        <v>7811.4173000000001</v>
      </c>
      <c r="C564" s="52">
        <v>694.36540000000002</v>
      </c>
      <c r="D564" s="52">
        <v>347.18270000000001</v>
      </c>
      <c r="E564" s="52">
        <v>347.18270000000001</v>
      </c>
      <c r="F564" s="52">
        <v>1388.7308</v>
      </c>
      <c r="G564" s="52">
        <v>694.36540000000002</v>
      </c>
      <c r="H564" s="52">
        <v>694.36540000000002</v>
      </c>
      <c r="I564" s="52">
        <v>1388.7308</v>
      </c>
      <c r="J564" s="52">
        <v>376.08229999999998</v>
      </c>
      <c r="K564" s="52">
        <v>1128.2470000000001</v>
      </c>
      <c r="L564" s="52">
        <v>376.08229999999998</v>
      </c>
      <c r="M564" s="52">
        <v>376.08229999999998</v>
      </c>
      <c r="N564" s="5" t="s">
        <v>69</v>
      </c>
    </row>
    <row r="565" spans="1:14" x14ac:dyDescent="0.25">
      <c r="A565" s="51">
        <v>1.3540000000000001</v>
      </c>
      <c r="B565" s="52">
        <v>7815.5228999999999</v>
      </c>
      <c r="C565" s="52">
        <v>694.87860000000001</v>
      </c>
      <c r="D565" s="52">
        <v>347.4393</v>
      </c>
      <c r="E565" s="52">
        <v>347.4393</v>
      </c>
      <c r="F565" s="52">
        <v>1389.7572</v>
      </c>
      <c r="G565" s="52">
        <v>694.87860000000001</v>
      </c>
      <c r="H565" s="52">
        <v>694.87860000000001</v>
      </c>
      <c r="I565" s="52">
        <v>1389.7572</v>
      </c>
      <c r="J565" s="52">
        <v>376.08229999999998</v>
      </c>
      <c r="K565" s="52">
        <v>1128.2470000000001</v>
      </c>
      <c r="L565" s="52">
        <v>376.08229999999998</v>
      </c>
      <c r="M565" s="52">
        <v>376.08229999999998</v>
      </c>
      <c r="N565" s="5" t="s">
        <v>69</v>
      </c>
    </row>
    <row r="566" spans="1:14" x14ac:dyDescent="0.25">
      <c r="A566" s="51">
        <v>1.355</v>
      </c>
      <c r="B566" s="52">
        <v>7819.6284999999998</v>
      </c>
      <c r="C566" s="52">
        <v>695.39179999999999</v>
      </c>
      <c r="D566" s="52">
        <v>347.69589999999999</v>
      </c>
      <c r="E566" s="52">
        <v>347.69589999999999</v>
      </c>
      <c r="F566" s="52">
        <v>1390.7836</v>
      </c>
      <c r="G566" s="52">
        <v>695.39179999999999</v>
      </c>
      <c r="H566" s="52">
        <v>695.39179999999999</v>
      </c>
      <c r="I566" s="52">
        <v>1390.7836</v>
      </c>
      <c r="J566" s="52">
        <v>376.08229999999998</v>
      </c>
      <c r="K566" s="52">
        <v>1128.2470000000001</v>
      </c>
      <c r="L566" s="52">
        <v>376.08229999999998</v>
      </c>
      <c r="M566" s="52">
        <v>376.08229999999998</v>
      </c>
      <c r="N566" s="5" t="s">
        <v>69</v>
      </c>
    </row>
    <row r="567" spans="1:14" x14ac:dyDescent="0.25">
      <c r="A567" s="51">
        <v>1.3560000000000001</v>
      </c>
      <c r="B567" s="52">
        <v>7823.7341999999999</v>
      </c>
      <c r="C567" s="52">
        <v>695.90499999999997</v>
      </c>
      <c r="D567" s="52">
        <v>347.95249999999999</v>
      </c>
      <c r="E567" s="52">
        <v>347.95249999999999</v>
      </c>
      <c r="F567" s="52">
        <v>1391.81</v>
      </c>
      <c r="G567" s="52">
        <v>695.90499999999997</v>
      </c>
      <c r="H567" s="52">
        <v>695.90499999999997</v>
      </c>
      <c r="I567" s="52">
        <v>1391.81</v>
      </c>
      <c r="J567" s="52">
        <v>376.08229999999998</v>
      </c>
      <c r="K567" s="52">
        <v>1128.2470000000001</v>
      </c>
      <c r="L567" s="52">
        <v>376.08229999999998</v>
      </c>
      <c r="M567" s="52">
        <v>376.08229999999998</v>
      </c>
      <c r="N567" s="5" t="s">
        <v>69</v>
      </c>
    </row>
    <row r="568" spans="1:14" x14ac:dyDescent="0.25">
      <c r="A568" s="51">
        <v>1.357</v>
      </c>
      <c r="B568" s="52">
        <v>7827.8397999999997</v>
      </c>
      <c r="C568" s="52">
        <v>696.41819999999996</v>
      </c>
      <c r="D568" s="52">
        <v>348.20909999999998</v>
      </c>
      <c r="E568" s="52">
        <v>348.20909999999998</v>
      </c>
      <c r="F568" s="52">
        <v>1392.8364999999999</v>
      </c>
      <c r="G568" s="52">
        <v>696.41819999999996</v>
      </c>
      <c r="H568" s="52">
        <v>696.41819999999996</v>
      </c>
      <c r="I568" s="52">
        <v>1392.8364999999999</v>
      </c>
      <c r="J568" s="52">
        <v>376.08229999999998</v>
      </c>
      <c r="K568" s="52">
        <v>1128.2470000000001</v>
      </c>
      <c r="L568" s="52">
        <v>376.08229999999998</v>
      </c>
      <c r="M568" s="52">
        <v>376.08229999999998</v>
      </c>
      <c r="N568" s="5" t="s">
        <v>69</v>
      </c>
    </row>
    <row r="569" spans="1:14" x14ac:dyDescent="0.25">
      <c r="A569" s="51">
        <v>1.3580000000000001</v>
      </c>
      <c r="B569" s="52">
        <v>7831.9453999999996</v>
      </c>
      <c r="C569" s="52">
        <v>696.93140000000005</v>
      </c>
      <c r="D569" s="52">
        <v>348.46570000000003</v>
      </c>
      <c r="E569" s="52">
        <v>348.46570000000003</v>
      </c>
      <c r="F569" s="52">
        <v>1393.8629000000001</v>
      </c>
      <c r="G569" s="52">
        <v>696.93140000000005</v>
      </c>
      <c r="H569" s="52">
        <v>696.93140000000005</v>
      </c>
      <c r="I569" s="52">
        <v>1393.8629000000001</v>
      </c>
      <c r="J569" s="52">
        <v>376.08229999999998</v>
      </c>
      <c r="K569" s="52">
        <v>1128.2470000000001</v>
      </c>
      <c r="L569" s="52">
        <v>376.08229999999998</v>
      </c>
      <c r="M569" s="52">
        <v>376.08229999999998</v>
      </c>
      <c r="N569" s="5" t="s">
        <v>69</v>
      </c>
    </row>
    <row r="570" spans="1:14" x14ac:dyDescent="0.25">
      <c r="A570" s="51">
        <v>1.359</v>
      </c>
      <c r="B570" s="52">
        <v>7836.0510999999997</v>
      </c>
      <c r="C570" s="52">
        <v>697.44460000000004</v>
      </c>
      <c r="D570" s="52">
        <v>348.72230000000002</v>
      </c>
      <c r="E570" s="52">
        <v>348.72230000000002</v>
      </c>
      <c r="F570" s="52">
        <v>1394.8893</v>
      </c>
      <c r="G570" s="52">
        <v>697.44460000000004</v>
      </c>
      <c r="H570" s="52">
        <v>697.44460000000004</v>
      </c>
      <c r="I570" s="52">
        <v>1394.8893</v>
      </c>
      <c r="J570" s="52">
        <v>376.08229999999998</v>
      </c>
      <c r="K570" s="52">
        <v>1128.2470000000001</v>
      </c>
      <c r="L570" s="52">
        <v>376.08229999999998</v>
      </c>
      <c r="M570" s="52">
        <v>376.08229999999998</v>
      </c>
      <c r="N570" s="5" t="s">
        <v>69</v>
      </c>
    </row>
    <row r="571" spans="1:14" x14ac:dyDescent="0.25">
      <c r="A571" s="51">
        <v>1.36</v>
      </c>
      <c r="B571" s="52">
        <v>7840.1566999999995</v>
      </c>
      <c r="C571" s="52">
        <v>697.95780000000002</v>
      </c>
      <c r="D571" s="52">
        <v>348.97890000000001</v>
      </c>
      <c r="E571" s="52">
        <v>348.97890000000001</v>
      </c>
      <c r="F571" s="52">
        <v>1395.9157</v>
      </c>
      <c r="G571" s="52">
        <v>697.95780000000002</v>
      </c>
      <c r="H571" s="52">
        <v>697.95780000000002</v>
      </c>
      <c r="I571" s="52">
        <v>1395.9157</v>
      </c>
      <c r="J571" s="52">
        <v>376.08229999999998</v>
      </c>
      <c r="K571" s="52">
        <v>1128.2470000000001</v>
      </c>
      <c r="L571" s="52">
        <v>376.08229999999998</v>
      </c>
      <c r="M571" s="52">
        <v>376.08229999999998</v>
      </c>
      <c r="N571" s="5" t="s">
        <v>69</v>
      </c>
    </row>
    <row r="572" spans="1:14" x14ac:dyDescent="0.25">
      <c r="A572" s="51">
        <v>1.361</v>
      </c>
      <c r="B572" s="52">
        <v>7844.2623000000003</v>
      </c>
      <c r="C572" s="52">
        <v>698.471</v>
      </c>
      <c r="D572" s="52">
        <v>349.2355</v>
      </c>
      <c r="E572" s="52">
        <v>349.2355</v>
      </c>
      <c r="F572" s="52">
        <v>1396.9421</v>
      </c>
      <c r="G572" s="52">
        <v>698.471</v>
      </c>
      <c r="H572" s="52">
        <v>698.471</v>
      </c>
      <c r="I572" s="52">
        <v>1396.9421</v>
      </c>
      <c r="J572" s="52">
        <v>376.08229999999998</v>
      </c>
      <c r="K572" s="52">
        <v>1128.2470000000001</v>
      </c>
      <c r="L572" s="52">
        <v>376.08229999999998</v>
      </c>
      <c r="M572" s="52">
        <v>376.08229999999998</v>
      </c>
      <c r="N572" s="5" t="s">
        <v>69</v>
      </c>
    </row>
    <row r="573" spans="1:14" x14ac:dyDescent="0.25">
      <c r="A573" s="51">
        <v>1.3620000000000001</v>
      </c>
      <c r="B573" s="52">
        <v>7848.3680000000004</v>
      </c>
      <c r="C573" s="52">
        <v>698.98419999999999</v>
      </c>
      <c r="D573" s="52">
        <v>349.49209999999999</v>
      </c>
      <c r="E573" s="52">
        <v>349.49209999999999</v>
      </c>
      <c r="F573" s="52">
        <v>1397.9684999999999</v>
      </c>
      <c r="G573" s="52">
        <v>698.98419999999999</v>
      </c>
      <c r="H573" s="52">
        <v>698.98419999999999</v>
      </c>
      <c r="I573" s="52">
        <v>1397.9684999999999</v>
      </c>
      <c r="J573" s="52">
        <v>376.08229999999998</v>
      </c>
      <c r="K573" s="52">
        <v>1128.2470000000001</v>
      </c>
      <c r="L573" s="52">
        <v>376.08229999999998</v>
      </c>
      <c r="M573" s="52">
        <v>376.08229999999998</v>
      </c>
      <c r="N573" s="5" t="s">
        <v>69</v>
      </c>
    </row>
    <row r="574" spans="1:14" x14ac:dyDescent="0.25">
      <c r="A574" s="51">
        <v>1.363</v>
      </c>
      <c r="B574" s="52">
        <v>7852.4736000000003</v>
      </c>
      <c r="C574" s="52">
        <v>699.49749999999995</v>
      </c>
      <c r="D574" s="52">
        <v>349.74869999999999</v>
      </c>
      <c r="E574" s="52">
        <v>349.74869999999999</v>
      </c>
      <c r="F574" s="52">
        <v>1398.9948999999999</v>
      </c>
      <c r="G574" s="52">
        <v>699.49749999999995</v>
      </c>
      <c r="H574" s="52">
        <v>699.49749999999995</v>
      </c>
      <c r="I574" s="52">
        <v>1398.9948999999999</v>
      </c>
      <c r="J574" s="52">
        <v>376.08229999999998</v>
      </c>
      <c r="K574" s="52">
        <v>1128.2470000000001</v>
      </c>
      <c r="L574" s="52">
        <v>376.08229999999998</v>
      </c>
      <c r="M574" s="52">
        <v>376.08229999999998</v>
      </c>
      <c r="N574" s="5" t="s">
        <v>69</v>
      </c>
    </row>
    <row r="575" spans="1:14" x14ac:dyDescent="0.25">
      <c r="A575" s="51">
        <v>1.3640000000000001</v>
      </c>
      <c r="B575" s="52">
        <v>7856.5792000000001</v>
      </c>
      <c r="C575" s="52">
        <v>700.01070000000004</v>
      </c>
      <c r="D575" s="52">
        <v>350.00529999999998</v>
      </c>
      <c r="E575" s="52">
        <v>350.00529999999998</v>
      </c>
      <c r="F575" s="52">
        <v>1400.0213000000001</v>
      </c>
      <c r="G575" s="52">
        <v>700.01070000000004</v>
      </c>
      <c r="H575" s="52">
        <v>700.01070000000004</v>
      </c>
      <c r="I575" s="52">
        <v>1400.0213000000001</v>
      </c>
      <c r="J575" s="52">
        <v>376.08229999999998</v>
      </c>
      <c r="K575" s="52">
        <v>1128.2470000000001</v>
      </c>
      <c r="L575" s="52">
        <v>376.08229999999998</v>
      </c>
      <c r="M575" s="52">
        <v>376.08229999999998</v>
      </c>
      <c r="N575" s="5" t="s">
        <v>69</v>
      </c>
    </row>
    <row r="576" spans="1:14" x14ac:dyDescent="0.25">
      <c r="A576" s="51">
        <v>1.365</v>
      </c>
      <c r="B576" s="52">
        <v>7860.6849000000002</v>
      </c>
      <c r="C576" s="52">
        <v>700.52390000000003</v>
      </c>
      <c r="D576" s="52">
        <v>350.26190000000003</v>
      </c>
      <c r="E576" s="52">
        <v>350.26190000000003</v>
      </c>
      <c r="F576" s="52">
        <v>1401.0477000000001</v>
      </c>
      <c r="G576" s="52">
        <v>700.52390000000003</v>
      </c>
      <c r="H576" s="52">
        <v>700.52390000000003</v>
      </c>
      <c r="I576" s="52">
        <v>1401.0477000000001</v>
      </c>
      <c r="J576" s="52">
        <v>376.08229999999998</v>
      </c>
      <c r="K576" s="52">
        <v>1128.2470000000001</v>
      </c>
      <c r="L576" s="52">
        <v>376.08229999999998</v>
      </c>
      <c r="M576" s="52">
        <v>376.08229999999998</v>
      </c>
      <c r="N576" s="5" t="s">
        <v>69</v>
      </c>
    </row>
    <row r="577" spans="1:14" x14ac:dyDescent="0.25">
      <c r="A577" s="51">
        <v>1.3660000000000001</v>
      </c>
      <c r="B577" s="52">
        <v>7864.7905000000001</v>
      </c>
      <c r="C577" s="52">
        <v>701.03710000000001</v>
      </c>
      <c r="D577" s="52">
        <v>350.51850000000002</v>
      </c>
      <c r="E577" s="52">
        <v>350.51850000000002</v>
      </c>
      <c r="F577" s="52">
        <v>1402.0741</v>
      </c>
      <c r="G577" s="52">
        <v>701.03710000000001</v>
      </c>
      <c r="H577" s="52">
        <v>701.03710000000001</v>
      </c>
      <c r="I577" s="52">
        <v>1402.0741</v>
      </c>
      <c r="J577" s="52">
        <v>376.08229999999998</v>
      </c>
      <c r="K577" s="52">
        <v>1128.2470000000001</v>
      </c>
      <c r="L577" s="52">
        <v>376.08229999999998</v>
      </c>
      <c r="M577" s="52">
        <v>376.08229999999998</v>
      </c>
      <c r="N577" s="5" t="s">
        <v>69</v>
      </c>
    </row>
    <row r="578" spans="1:14" x14ac:dyDescent="0.25">
      <c r="A578" s="51">
        <v>1.367</v>
      </c>
      <c r="B578" s="52">
        <v>7868.8960999999999</v>
      </c>
      <c r="C578" s="52">
        <v>701.55029999999999</v>
      </c>
      <c r="D578" s="52">
        <v>350.77510000000001</v>
      </c>
      <c r="E578" s="52">
        <v>350.77510000000001</v>
      </c>
      <c r="F578" s="52">
        <v>1403.1005</v>
      </c>
      <c r="G578" s="52">
        <v>701.55029999999999</v>
      </c>
      <c r="H578" s="52">
        <v>701.55029999999999</v>
      </c>
      <c r="I578" s="52">
        <v>1403.1005</v>
      </c>
      <c r="J578" s="52">
        <v>376.08229999999998</v>
      </c>
      <c r="K578" s="52">
        <v>1128.2470000000001</v>
      </c>
      <c r="L578" s="52">
        <v>376.08229999999998</v>
      </c>
      <c r="M578" s="52">
        <v>376.08229999999998</v>
      </c>
      <c r="N578" s="5" t="s">
        <v>69</v>
      </c>
    </row>
    <row r="579" spans="1:14" x14ac:dyDescent="0.25">
      <c r="A579" s="51">
        <v>1.3680000000000001</v>
      </c>
      <c r="B579" s="52">
        <v>7873.0018</v>
      </c>
      <c r="C579" s="52">
        <v>702.06349999999998</v>
      </c>
      <c r="D579" s="52">
        <v>351.0317</v>
      </c>
      <c r="E579" s="52">
        <v>351.0317</v>
      </c>
      <c r="F579" s="52">
        <v>1404.1269</v>
      </c>
      <c r="G579" s="52">
        <v>702.06349999999998</v>
      </c>
      <c r="H579" s="52">
        <v>702.06349999999998</v>
      </c>
      <c r="I579" s="52">
        <v>1404.1269</v>
      </c>
      <c r="J579" s="52">
        <v>376.08229999999998</v>
      </c>
      <c r="K579" s="52">
        <v>1128.2470000000001</v>
      </c>
      <c r="L579" s="52">
        <v>376.08229999999998</v>
      </c>
      <c r="M579" s="52">
        <v>376.08229999999998</v>
      </c>
      <c r="N579" s="5" t="s">
        <v>69</v>
      </c>
    </row>
    <row r="580" spans="1:14" x14ac:dyDescent="0.25">
      <c r="A580" s="51">
        <v>1.369</v>
      </c>
      <c r="B580" s="52">
        <v>7877.1073999999999</v>
      </c>
      <c r="C580" s="52">
        <v>702.57669999999996</v>
      </c>
      <c r="D580" s="52">
        <v>351.28829999999999</v>
      </c>
      <c r="E580" s="52">
        <v>351.28829999999999</v>
      </c>
      <c r="F580" s="52">
        <v>1405.1533999999999</v>
      </c>
      <c r="G580" s="52">
        <v>702.57669999999996</v>
      </c>
      <c r="H580" s="52">
        <v>702.57669999999996</v>
      </c>
      <c r="I580" s="52">
        <v>1405.1533999999999</v>
      </c>
      <c r="J580" s="52">
        <v>376.08229999999998</v>
      </c>
      <c r="K580" s="52">
        <v>1128.2470000000001</v>
      </c>
      <c r="L580" s="52">
        <v>376.08229999999998</v>
      </c>
      <c r="M580" s="52">
        <v>376.08229999999998</v>
      </c>
      <c r="N580" s="5" t="s">
        <v>69</v>
      </c>
    </row>
    <row r="581" spans="1:14" x14ac:dyDescent="0.25">
      <c r="A581" s="51">
        <v>1.37</v>
      </c>
      <c r="B581" s="52">
        <v>7881.2129999999997</v>
      </c>
      <c r="C581" s="52">
        <v>703.08989999999994</v>
      </c>
      <c r="D581" s="52">
        <v>351.54489999999998</v>
      </c>
      <c r="E581" s="52">
        <v>351.54489999999998</v>
      </c>
      <c r="F581" s="52">
        <v>1406.1797999999999</v>
      </c>
      <c r="G581" s="52">
        <v>703.08989999999994</v>
      </c>
      <c r="H581" s="52">
        <v>703.08989999999994</v>
      </c>
      <c r="I581" s="52">
        <v>1406.1797999999999</v>
      </c>
      <c r="J581" s="52">
        <v>376.08229999999998</v>
      </c>
      <c r="K581" s="52">
        <v>1128.2470000000001</v>
      </c>
      <c r="L581" s="52">
        <v>376.08229999999998</v>
      </c>
      <c r="M581" s="52">
        <v>376.08229999999998</v>
      </c>
      <c r="N581" s="5" t="s">
        <v>69</v>
      </c>
    </row>
    <row r="582" spans="1:14" x14ac:dyDescent="0.25">
      <c r="A582" s="51">
        <v>1.371</v>
      </c>
      <c r="B582" s="52">
        <v>7885.3186999999998</v>
      </c>
      <c r="C582" s="52">
        <v>703.60310000000004</v>
      </c>
      <c r="D582" s="52">
        <v>351.80149999999998</v>
      </c>
      <c r="E582" s="52">
        <v>351.80149999999998</v>
      </c>
      <c r="F582" s="52">
        <v>1407.2062000000001</v>
      </c>
      <c r="G582" s="52">
        <v>703.60310000000004</v>
      </c>
      <c r="H582" s="52">
        <v>703.60310000000004</v>
      </c>
      <c r="I582" s="52">
        <v>1407.2062000000001</v>
      </c>
      <c r="J582" s="52">
        <v>376.08229999999998</v>
      </c>
      <c r="K582" s="52">
        <v>1128.2470000000001</v>
      </c>
      <c r="L582" s="52">
        <v>376.08229999999998</v>
      </c>
      <c r="M582" s="52">
        <v>376.08229999999998</v>
      </c>
      <c r="N582" s="5" t="s">
        <v>69</v>
      </c>
    </row>
    <row r="583" spans="1:14" x14ac:dyDescent="0.25">
      <c r="A583" s="51">
        <v>1.3720000000000001</v>
      </c>
      <c r="B583" s="52">
        <v>7889.4242999999997</v>
      </c>
      <c r="C583" s="52">
        <v>704.11630000000002</v>
      </c>
      <c r="D583" s="52">
        <v>352.05810000000002</v>
      </c>
      <c r="E583" s="52">
        <v>352.05810000000002</v>
      </c>
      <c r="F583" s="52">
        <v>1408.2326</v>
      </c>
      <c r="G583" s="52">
        <v>704.11630000000002</v>
      </c>
      <c r="H583" s="52">
        <v>704.11630000000002</v>
      </c>
      <c r="I583" s="52">
        <v>1408.2326</v>
      </c>
      <c r="J583" s="52">
        <v>376.08229999999998</v>
      </c>
      <c r="K583" s="52">
        <v>1128.2470000000001</v>
      </c>
      <c r="L583" s="52">
        <v>376.08229999999998</v>
      </c>
      <c r="M583" s="52">
        <v>376.08229999999998</v>
      </c>
      <c r="N583" s="5" t="s">
        <v>69</v>
      </c>
    </row>
    <row r="584" spans="1:14" x14ac:dyDescent="0.25">
      <c r="A584" s="51">
        <v>1.373</v>
      </c>
      <c r="B584" s="52">
        <v>7893.5299000000005</v>
      </c>
      <c r="C584" s="52">
        <v>704.62950000000001</v>
      </c>
      <c r="D584" s="52">
        <v>352.31470000000002</v>
      </c>
      <c r="E584" s="52">
        <v>352.31470000000002</v>
      </c>
      <c r="F584" s="52">
        <v>1409.259</v>
      </c>
      <c r="G584" s="52">
        <v>704.62950000000001</v>
      </c>
      <c r="H584" s="52">
        <v>704.62950000000001</v>
      </c>
      <c r="I584" s="52">
        <v>1409.259</v>
      </c>
      <c r="J584" s="52">
        <v>376.08229999999998</v>
      </c>
      <c r="K584" s="52">
        <v>1128.2470000000001</v>
      </c>
      <c r="L584" s="52">
        <v>376.08229999999998</v>
      </c>
      <c r="M584" s="52">
        <v>376.08229999999998</v>
      </c>
      <c r="N584" s="5" t="s">
        <v>69</v>
      </c>
    </row>
    <row r="585" spans="1:14" x14ac:dyDescent="0.25">
      <c r="A585" s="51">
        <v>1.3740000000000001</v>
      </c>
      <c r="B585" s="52">
        <v>7897.6355999999996</v>
      </c>
      <c r="C585" s="52">
        <v>705.14269999999999</v>
      </c>
      <c r="D585" s="52">
        <v>352.57130000000001</v>
      </c>
      <c r="E585" s="52">
        <v>352.57130000000001</v>
      </c>
      <c r="F585" s="52">
        <v>1410.2854</v>
      </c>
      <c r="G585" s="52">
        <v>705.14269999999999</v>
      </c>
      <c r="H585" s="52">
        <v>705.14269999999999</v>
      </c>
      <c r="I585" s="52">
        <v>1410.2854</v>
      </c>
      <c r="J585" s="52">
        <v>376.08229999999998</v>
      </c>
      <c r="K585" s="52">
        <v>1128.2470000000001</v>
      </c>
      <c r="L585" s="52">
        <v>376.08229999999998</v>
      </c>
      <c r="M585" s="52">
        <v>376.08229999999998</v>
      </c>
      <c r="N585" s="5" t="s">
        <v>69</v>
      </c>
    </row>
    <row r="586" spans="1:14" x14ac:dyDescent="0.25">
      <c r="A586" s="51">
        <v>1.375</v>
      </c>
      <c r="B586" s="52">
        <v>7901.7412000000004</v>
      </c>
      <c r="C586" s="52">
        <v>705.65589999999997</v>
      </c>
      <c r="D586" s="52">
        <v>352.82799999999997</v>
      </c>
      <c r="E586" s="52">
        <v>352.82799999999997</v>
      </c>
      <c r="F586" s="52">
        <v>1411.3117999999999</v>
      </c>
      <c r="G586" s="52">
        <v>705.65589999999997</v>
      </c>
      <c r="H586" s="52">
        <v>705.65589999999997</v>
      </c>
      <c r="I586" s="52">
        <v>1411.3117999999999</v>
      </c>
      <c r="J586" s="52">
        <v>376.08229999999998</v>
      </c>
      <c r="K586" s="52">
        <v>1128.2470000000001</v>
      </c>
      <c r="L586" s="52">
        <v>376.08229999999998</v>
      </c>
      <c r="M586" s="52">
        <v>376.08229999999998</v>
      </c>
      <c r="N586" s="5" t="s">
        <v>69</v>
      </c>
    </row>
    <row r="587" spans="1:14" x14ac:dyDescent="0.25">
      <c r="A587" s="51">
        <v>1.3759999999999999</v>
      </c>
      <c r="B587" s="52">
        <v>7905.8468999999996</v>
      </c>
      <c r="C587" s="52">
        <v>706.16909999999996</v>
      </c>
      <c r="D587" s="52">
        <v>353.08460000000002</v>
      </c>
      <c r="E587" s="52">
        <v>353.08460000000002</v>
      </c>
      <c r="F587" s="52">
        <v>1412.3381999999999</v>
      </c>
      <c r="G587" s="52">
        <v>706.16909999999996</v>
      </c>
      <c r="H587" s="52">
        <v>706.16909999999996</v>
      </c>
      <c r="I587" s="52">
        <v>1412.3381999999999</v>
      </c>
      <c r="J587" s="52">
        <v>376.08229999999998</v>
      </c>
      <c r="K587" s="52">
        <v>1128.2470000000001</v>
      </c>
      <c r="L587" s="52">
        <v>376.08229999999998</v>
      </c>
      <c r="M587" s="52">
        <v>376.08229999999998</v>
      </c>
      <c r="N587" s="5" t="s">
        <v>69</v>
      </c>
    </row>
    <row r="588" spans="1:14" x14ac:dyDescent="0.25">
      <c r="A588" s="51">
        <v>1.377</v>
      </c>
      <c r="B588" s="52">
        <v>7909.9525000000003</v>
      </c>
      <c r="C588" s="52">
        <v>706.68230000000005</v>
      </c>
      <c r="D588" s="52">
        <v>353.34120000000001</v>
      </c>
      <c r="E588" s="52">
        <v>353.34120000000001</v>
      </c>
      <c r="F588" s="52">
        <v>1413.3646000000001</v>
      </c>
      <c r="G588" s="52">
        <v>706.68230000000005</v>
      </c>
      <c r="H588" s="52">
        <v>706.68230000000005</v>
      </c>
      <c r="I588" s="52">
        <v>1413.3646000000001</v>
      </c>
      <c r="J588" s="52">
        <v>376.08229999999998</v>
      </c>
      <c r="K588" s="52">
        <v>1128.2470000000001</v>
      </c>
      <c r="L588" s="52">
        <v>376.08229999999998</v>
      </c>
      <c r="M588" s="52">
        <v>376.08229999999998</v>
      </c>
      <c r="N588" s="5" t="s">
        <v>69</v>
      </c>
    </row>
    <row r="589" spans="1:14" x14ac:dyDescent="0.25">
      <c r="A589" s="51">
        <v>1.3779999999999999</v>
      </c>
      <c r="B589" s="52">
        <v>7914.0581000000002</v>
      </c>
      <c r="C589" s="52">
        <v>707.19550000000004</v>
      </c>
      <c r="D589" s="52">
        <v>353.59780000000001</v>
      </c>
      <c r="E589" s="52">
        <v>353.59780000000001</v>
      </c>
      <c r="F589" s="52">
        <v>1414.3910000000001</v>
      </c>
      <c r="G589" s="52">
        <v>707.19550000000004</v>
      </c>
      <c r="H589" s="52">
        <v>707.19550000000004</v>
      </c>
      <c r="I589" s="52">
        <v>1414.3910000000001</v>
      </c>
      <c r="J589" s="52">
        <v>376.08229999999998</v>
      </c>
      <c r="K589" s="52">
        <v>1128.2470000000001</v>
      </c>
      <c r="L589" s="52">
        <v>376.08229999999998</v>
      </c>
      <c r="M589" s="52">
        <v>376.08229999999998</v>
      </c>
      <c r="N589" s="5" t="s">
        <v>69</v>
      </c>
    </row>
    <row r="590" spans="1:14" x14ac:dyDescent="0.25">
      <c r="A590" s="51">
        <v>1.379</v>
      </c>
      <c r="B590" s="52">
        <v>7918.1638000000003</v>
      </c>
      <c r="C590" s="52">
        <v>707.70870000000002</v>
      </c>
      <c r="D590" s="52">
        <v>353.8544</v>
      </c>
      <c r="E590" s="52">
        <v>353.8544</v>
      </c>
      <c r="F590" s="52">
        <v>1415.4174</v>
      </c>
      <c r="G590" s="52">
        <v>707.70870000000002</v>
      </c>
      <c r="H590" s="52">
        <v>707.70870000000002</v>
      </c>
      <c r="I590" s="52">
        <v>1415.4174</v>
      </c>
      <c r="J590" s="52">
        <v>376.08229999999998</v>
      </c>
      <c r="K590" s="52">
        <v>1128.2470000000001</v>
      </c>
      <c r="L590" s="52">
        <v>376.08229999999998</v>
      </c>
      <c r="M590" s="52">
        <v>376.08229999999998</v>
      </c>
      <c r="N590" s="5" t="s">
        <v>69</v>
      </c>
    </row>
    <row r="591" spans="1:14" x14ac:dyDescent="0.25">
      <c r="A591" s="51">
        <v>1.38</v>
      </c>
      <c r="B591" s="52">
        <v>7922.2694000000001</v>
      </c>
      <c r="C591" s="52">
        <v>708.22190000000001</v>
      </c>
      <c r="D591" s="52">
        <v>354.11099999999999</v>
      </c>
      <c r="E591" s="52">
        <v>354.11099999999999</v>
      </c>
      <c r="F591" s="52">
        <v>1416.4438</v>
      </c>
      <c r="G591" s="52">
        <v>708.22190000000001</v>
      </c>
      <c r="H591" s="52">
        <v>708.22190000000001</v>
      </c>
      <c r="I591" s="52">
        <v>1416.4438</v>
      </c>
      <c r="J591" s="52">
        <v>376.08229999999998</v>
      </c>
      <c r="K591" s="52">
        <v>1128.2470000000001</v>
      </c>
      <c r="L591" s="52">
        <v>376.08229999999998</v>
      </c>
      <c r="M591" s="52">
        <v>376.08229999999998</v>
      </c>
      <c r="N591" s="5" t="s">
        <v>69</v>
      </c>
    </row>
    <row r="592" spans="1:14" x14ac:dyDescent="0.25">
      <c r="A592" s="51">
        <v>1.381</v>
      </c>
      <c r="B592" s="52">
        <v>7926.375</v>
      </c>
      <c r="C592" s="52">
        <v>708.73509999999999</v>
      </c>
      <c r="D592" s="52">
        <v>354.36759999999998</v>
      </c>
      <c r="E592" s="52">
        <v>354.36759999999998</v>
      </c>
      <c r="F592" s="52">
        <v>1417.4703</v>
      </c>
      <c r="G592" s="52">
        <v>708.73509999999999</v>
      </c>
      <c r="H592" s="52">
        <v>708.73509999999999</v>
      </c>
      <c r="I592" s="52">
        <v>1417.4703</v>
      </c>
      <c r="J592" s="52">
        <v>376.08229999999998</v>
      </c>
      <c r="K592" s="52">
        <v>1128.2470000000001</v>
      </c>
      <c r="L592" s="52">
        <v>376.08229999999998</v>
      </c>
      <c r="M592" s="52">
        <v>376.08229999999998</v>
      </c>
      <c r="N592" s="5" t="s">
        <v>69</v>
      </c>
    </row>
    <row r="593" spans="1:14" x14ac:dyDescent="0.25">
      <c r="A593" s="51">
        <v>1.3819999999999999</v>
      </c>
      <c r="B593" s="52">
        <v>7930.4807000000001</v>
      </c>
      <c r="C593" s="52">
        <v>709.24829999999997</v>
      </c>
      <c r="D593" s="52">
        <v>354.62419999999997</v>
      </c>
      <c r="E593" s="52">
        <v>354.62419999999997</v>
      </c>
      <c r="F593" s="52">
        <v>1418.4966999999999</v>
      </c>
      <c r="G593" s="52">
        <v>709.24829999999997</v>
      </c>
      <c r="H593" s="52">
        <v>709.24829999999997</v>
      </c>
      <c r="I593" s="52">
        <v>1418.4966999999999</v>
      </c>
      <c r="J593" s="52">
        <v>376.08229999999998</v>
      </c>
      <c r="K593" s="52">
        <v>1128.2470000000001</v>
      </c>
      <c r="L593" s="52">
        <v>376.08229999999998</v>
      </c>
      <c r="M593" s="52">
        <v>376.08229999999998</v>
      </c>
      <c r="N593" s="5" t="s">
        <v>69</v>
      </c>
    </row>
    <row r="594" spans="1:14" x14ac:dyDescent="0.25">
      <c r="A594" s="51">
        <v>1.383</v>
      </c>
      <c r="B594" s="52">
        <v>7934.5862999999999</v>
      </c>
      <c r="C594" s="52">
        <v>709.76149999999996</v>
      </c>
      <c r="D594" s="52">
        <v>354.88080000000002</v>
      </c>
      <c r="E594" s="52">
        <v>354.88080000000002</v>
      </c>
      <c r="F594" s="52">
        <v>1419.5231000000001</v>
      </c>
      <c r="G594" s="52">
        <v>709.76149999999996</v>
      </c>
      <c r="H594" s="52">
        <v>709.76149999999996</v>
      </c>
      <c r="I594" s="52">
        <v>1419.5231000000001</v>
      </c>
      <c r="J594" s="52">
        <v>376.08229999999998</v>
      </c>
      <c r="K594" s="52">
        <v>1128.2470000000001</v>
      </c>
      <c r="L594" s="52">
        <v>376.08229999999998</v>
      </c>
      <c r="M594" s="52">
        <v>376.08229999999998</v>
      </c>
      <c r="N594" s="5" t="s">
        <v>69</v>
      </c>
    </row>
    <row r="595" spans="1:14" x14ac:dyDescent="0.25">
      <c r="A595" s="51">
        <v>1.3839999999999999</v>
      </c>
      <c r="B595" s="52">
        <v>7938.6918999999998</v>
      </c>
      <c r="C595" s="52">
        <v>710.27470000000005</v>
      </c>
      <c r="D595" s="52">
        <v>355.13740000000001</v>
      </c>
      <c r="E595" s="52">
        <v>355.13740000000001</v>
      </c>
      <c r="F595" s="52">
        <v>1420.5495000000001</v>
      </c>
      <c r="G595" s="52">
        <v>710.27470000000005</v>
      </c>
      <c r="H595" s="52">
        <v>710.27470000000005</v>
      </c>
      <c r="I595" s="52">
        <v>1420.5495000000001</v>
      </c>
      <c r="J595" s="52">
        <v>376.08229999999998</v>
      </c>
      <c r="K595" s="52">
        <v>1128.2470000000001</v>
      </c>
      <c r="L595" s="52">
        <v>376.08229999999998</v>
      </c>
      <c r="M595" s="52">
        <v>376.08229999999998</v>
      </c>
      <c r="N595" s="5" t="s">
        <v>69</v>
      </c>
    </row>
    <row r="596" spans="1:14" x14ac:dyDescent="0.25">
      <c r="A596" s="51">
        <v>1.385</v>
      </c>
      <c r="B596" s="52">
        <v>7942.7975999999999</v>
      </c>
      <c r="C596" s="52">
        <v>710.78790000000004</v>
      </c>
      <c r="D596" s="52">
        <v>355.39400000000001</v>
      </c>
      <c r="E596" s="52">
        <v>355.39400000000001</v>
      </c>
      <c r="F596" s="52">
        <v>1421.5759</v>
      </c>
      <c r="G596" s="52">
        <v>710.78790000000004</v>
      </c>
      <c r="H596" s="52">
        <v>710.78790000000004</v>
      </c>
      <c r="I596" s="52">
        <v>1421.5759</v>
      </c>
      <c r="J596" s="52">
        <v>376.08229999999998</v>
      </c>
      <c r="K596" s="52">
        <v>1128.2470000000001</v>
      </c>
      <c r="L596" s="52">
        <v>376.08229999999998</v>
      </c>
      <c r="M596" s="52">
        <v>376.08229999999998</v>
      </c>
      <c r="N596" s="5" t="s">
        <v>69</v>
      </c>
    </row>
    <row r="597" spans="1:14" x14ac:dyDescent="0.25">
      <c r="A597" s="51">
        <v>1.3859999999999999</v>
      </c>
      <c r="B597" s="52">
        <v>7946.9031999999997</v>
      </c>
      <c r="C597" s="52">
        <v>711.30110000000002</v>
      </c>
      <c r="D597" s="52">
        <v>355.6506</v>
      </c>
      <c r="E597" s="52">
        <v>355.6506</v>
      </c>
      <c r="F597" s="52">
        <v>1422.6023</v>
      </c>
      <c r="G597" s="52">
        <v>711.30110000000002</v>
      </c>
      <c r="H597" s="52">
        <v>711.30110000000002</v>
      </c>
      <c r="I597" s="52">
        <v>1422.6023</v>
      </c>
      <c r="J597" s="52">
        <v>376.08229999999998</v>
      </c>
      <c r="K597" s="52">
        <v>1128.2470000000001</v>
      </c>
      <c r="L597" s="52">
        <v>376.08229999999998</v>
      </c>
      <c r="M597" s="52">
        <v>376.08229999999998</v>
      </c>
      <c r="N597" s="5" t="s">
        <v>69</v>
      </c>
    </row>
    <row r="598" spans="1:14" x14ac:dyDescent="0.25">
      <c r="A598" s="51">
        <v>1.387</v>
      </c>
      <c r="B598" s="52">
        <v>7951.0087999999996</v>
      </c>
      <c r="C598" s="52">
        <v>711.81439999999998</v>
      </c>
      <c r="D598" s="52">
        <v>355.90719999999999</v>
      </c>
      <c r="E598" s="52">
        <v>355.90719999999999</v>
      </c>
      <c r="F598" s="52">
        <v>1423.6287</v>
      </c>
      <c r="G598" s="52">
        <v>711.81439999999998</v>
      </c>
      <c r="H598" s="52">
        <v>711.81439999999998</v>
      </c>
      <c r="I598" s="52">
        <v>1423.6287</v>
      </c>
      <c r="J598" s="52">
        <v>376.08229999999998</v>
      </c>
      <c r="K598" s="52">
        <v>1128.2470000000001</v>
      </c>
      <c r="L598" s="52">
        <v>376.08229999999998</v>
      </c>
      <c r="M598" s="52">
        <v>376.08229999999998</v>
      </c>
      <c r="N598" s="5" t="s">
        <v>69</v>
      </c>
    </row>
    <row r="599" spans="1:14" x14ac:dyDescent="0.25">
      <c r="A599" s="51">
        <v>1.3879999999999999</v>
      </c>
      <c r="B599" s="52">
        <v>7955.1144999999997</v>
      </c>
      <c r="C599" s="52">
        <v>712.32759999999996</v>
      </c>
      <c r="D599" s="52">
        <v>356.16379999999998</v>
      </c>
      <c r="E599" s="52">
        <v>356.16379999999998</v>
      </c>
      <c r="F599" s="52">
        <v>1424.6550999999999</v>
      </c>
      <c r="G599" s="52">
        <v>712.32759999999996</v>
      </c>
      <c r="H599" s="52">
        <v>712.32759999999996</v>
      </c>
      <c r="I599" s="52">
        <v>1424.6550999999999</v>
      </c>
      <c r="J599" s="52">
        <v>376.08229999999998</v>
      </c>
      <c r="K599" s="52">
        <v>1128.2470000000001</v>
      </c>
      <c r="L599" s="52">
        <v>376.08229999999998</v>
      </c>
      <c r="M599" s="52">
        <v>376.08229999999998</v>
      </c>
      <c r="N599" s="5" t="s">
        <v>69</v>
      </c>
    </row>
    <row r="600" spans="1:14" x14ac:dyDescent="0.25">
      <c r="A600" s="51">
        <v>1.389</v>
      </c>
      <c r="B600" s="52">
        <v>7959.2200999999995</v>
      </c>
      <c r="C600" s="52">
        <v>712.84079999999994</v>
      </c>
      <c r="D600" s="52">
        <v>356.42039999999997</v>
      </c>
      <c r="E600" s="52">
        <v>356.42039999999997</v>
      </c>
      <c r="F600" s="52">
        <v>1425.6814999999999</v>
      </c>
      <c r="G600" s="52">
        <v>712.84079999999994</v>
      </c>
      <c r="H600" s="52">
        <v>712.84079999999994</v>
      </c>
      <c r="I600" s="52">
        <v>1425.6814999999999</v>
      </c>
      <c r="J600" s="52">
        <v>376.08229999999998</v>
      </c>
      <c r="K600" s="52">
        <v>1128.2470000000001</v>
      </c>
      <c r="L600" s="52">
        <v>376.08229999999998</v>
      </c>
      <c r="M600" s="52">
        <v>376.08229999999998</v>
      </c>
      <c r="N600" s="5" t="s">
        <v>69</v>
      </c>
    </row>
    <row r="601" spans="1:14" x14ac:dyDescent="0.25">
      <c r="A601" s="51">
        <v>1.39</v>
      </c>
      <c r="B601" s="52">
        <v>7963.3257000000003</v>
      </c>
      <c r="C601" s="52">
        <v>713.35400000000004</v>
      </c>
      <c r="D601" s="52">
        <v>356.67700000000002</v>
      </c>
      <c r="E601" s="52">
        <v>356.67700000000002</v>
      </c>
      <c r="F601" s="52">
        <v>1426.7079000000001</v>
      </c>
      <c r="G601" s="52">
        <v>713.35400000000004</v>
      </c>
      <c r="H601" s="52">
        <v>713.35400000000004</v>
      </c>
      <c r="I601" s="52">
        <v>1426.7079000000001</v>
      </c>
      <c r="J601" s="52">
        <v>376.08229999999998</v>
      </c>
      <c r="K601" s="52">
        <v>1128.2470000000001</v>
      </c>
      <c r="L601" s="52">
        <v>376.08229999999998</v>
      </c>
      <c r="M601" s="52">
        <v>376.08229999999998</v>
      </c>
      <c r="N601" s="5" t="s">
        <v>69</v>
      </c>
    </row>
    <row r="602" spans="1:14" x14ac:dyDescent="0.25">
      <c r="A602" s="51">
        <v>1.391</v>
      </c>
      <c r="B602" s="52">
        <v>7967.4314000000004</v>
      </c>
      <c r="C602" s="52">
        <v>713.86720000000003</v>
      </c>
      <c r="D602" s="52">
        <v>356.93360000000001</v>
      </c>
      <c r="E602" s="52">
        <v>356.93360000000001</v>
      </c>
      <c r="F602" s="52">
        <v>1427.7343000000001</v>
      </c>
      <c r="G602" s="52">
        <v>713.86720000000003</v>
      </c>
      <c r="H602" s="52">
        <v>713.86720000000003</v>
      </c>
      <c r="I602" s="52">
        <v>1427.7343000000001</v>
      </c>
      <c r="J602" s="52">
        <v>376.08229999999998</v>
      </c>
      <c r="K602" s="52">
        <v>1128.2470000000001</v>
      </c>
      <c r="L602" s="52">
        <v>376.08229999999998</v>
      </c>
      <c r="M602" s="52">
        <v>376.08229999999998</v>
      </c>
      <c r="N602" s="5" t="s">
        <v>69</v>
      </c>
    </row>
    <row r="603" spans="1:14" x14ac:dyDescent="0.25">
      <c r="A603" s="51">
        <v>1.3919999999999999</v>
      </c>
      <c r="B603" s="52">
        <v>7971.5370000000003</v>
      </c>
      <c r="C603" s="52">
        <v>714.38040000000001</v>
      </c>
      <c r="D603" s="52">
        <v>357.1902</v>
      </c>
      <c r="E603" s="52">
        <v>357.1902</v>
      </c>
      <c r="F603" s="52">
        <v>1428.7608</v>
      </c>
      <c r="G603" s="52">
        <v>714.38040000000001</v>
      </c>
      <c r="H603" s="52">
        <v>714.38040000000001</v>
      </c>
      <c r="I603" s="52">
        <v>1428.7608</v>
      </c>
      <c r="J603" s="52">
        <v>376.08229999999998</v>
      </c>
      <c r="K603" s="52">
        <v>1128.2470000000001</v>
      </c>
      <c r="L603" s="52">
        <v>376.08229999999998</v>
      </c>
      <c r="M603" s="52">
        <v>376.08229999999998</v>
      </c>
      <c r="N603" s="5" t="s">
        <v>69</v>
      </c>
    </row>
    <row r="604" spans="1:14" x14ac:dyDescent="0.25">
      <c r="A604" s="51">
        <v>1.393</v>
      </c>
      <c r="B604" s="52">
        <v>7975.6426000000001</v>
      </c>
      <c r="C604" s="52">
        <v>714.89359999999999</v>
      </c>
      <c r="D604" s="52">
        <v>357.4468</v>
      </c>
      <c r="E604" s="52">
        <v>357.4468</v>
      </c>
      <c r="F604" s="52">
        <v>1429.7872</v>
      </c>
      <c r="G604" s="52">
        <v>714.89359999999999</v>
      </c>
      <c r="H604" s="52">
        <v>714.89359999999999</v>
      </c>
      <c r="I604" s="52">
        <v>1429.7872</v>
      </c>
      <c r="J604" s="52">
        <v>376.08229999999998</v>
      </c>
      <c r="K604" s="52">
        <v>1128.2470000000001</v>
      </c>
      <c r="L604" s="52">
        <v>376.08229999999998</v>
      </c>
      <c r="M604" s="52">
        <v>376.08229999999998</v>
      </c>
      <c r="N604" s="5" t="s">
        <v>69</v>
      </c>
    </row>
    <row r="605" spans="1:14" x14ac:dyDescent="0.25">
      <c r="A605" s="51">
        <v>1.3939999999999999</v>
      </c>
      <c r="B605" s="52">
        <v>7979.7483000000002</v>
      </c>
      <c r="C605" s="52">
        <v>715.40679999999998</v>
      </c>
      <c r="D605" s="52">
        <v>357.70339999999999</v>
      </c>
      <c r="E605" s="52">
        <v>357.70339999999999</v>
      </c>
      <c r="F605" s="52">
        <v>1430.8136</v>
      </c>
      <c r="G605" s="52">
        <v>715.40679999999998</v>
      </c>
      <c r="H605" s="52">
        <v>715.40679999999998</v>
      </c>
      <c r="I605" s="52">
        <v>1430.8136</v>
      </c>
      <c r="J605" s="52">
        <v>376.08229999999998</v>
      </c>
      <c r="K605" s="52">
        <v>1128.2470000000001</v>
      </c>
      <c r="L605" s="52">
        <v>376.08229999999998</v>
      </c>
      <c r="M605" s="52">
        <v>376.08229999999998</v>
      </c>
      <c r="N605" s="5" t="s">
        <v>69</v>
      </c>
    </row>
    <row r="606" spans="1:14" x14ac:dyDescent="0.25">
      <c r="A606" s="51">
        <v>1.395</v>
      </c>
      <c r="B606" s="52">
        <v>7983.8539000000001</v>
      </c>
      <c r="C606" s="52">
        <v>715.92</v>
      </c>
      <c r="D606" s="52">
        <v>357.96</v>
      </c>
      <c r="E606" s="52">
        <v>357.96</v>
      </c>
      <c r="F606" s="52">
        <v>1431.84</v>
      </c>
      <c r="G606" s="52">
        <v>715.92</v>
      </c>
      <c r="H606" s="52">
        <v>715.92</v>
      </c>
      <c r="I606" s="52">
        <v>1431.84</v>
      </c>
      <c r="J606" s="52">
        <v>376.08229999999998</v>
      </c>
      <c r="K606" s="52">
        <v>1128.2470000000001</v>
      </c>
      <c r="L606" s="52">
        <v>376.08229999999998</v>
      </c>
      <c r="M606" s="52">
        <v>376.08229999999998</v>
      </c>
      <c r="N606" s="5" t="s">
        <v>69</v>
      </c>
    </row>
    <row r="607" spans="1:14" x14ac:dyDescent="0.25">
      <c r="A607" s="51">
        <v>1.3959999999999999</v>
      </c>
      <c r="B607" s="52">
        <v>7987.9594999999999</v>
      </c>
      <c r="C607" s="52">
        <v>716.43320000000006</v>
      </c>
      <c r="D607" s="52">
        <v>358.21660000000003</v>
      </c>
      <c r="E607" s="52">
        <v>358.21660000000003</v>
      </c>
      <c r="F607" s="52">
        <v>1432.8664000000001</v>
      </c>
      <c r="G607" s="52">
        <v>716.43320000000006</v>
      </c>
      <c r="H607" s="52">
        <v>716.43320000000006</v>
      </c>
      <c r="I607" s="52">
        <v>1432.8664000000001</v>
      </c>
      <c r="J607" s="52">
        <v>376.08229999999998</v>
      </c>
      <c r="K607" s="52">
        <v>1128.2470000000001</v>
      </c>
      <c r="L607" s="52">
        <v>376.08229999999998</v>
      </c>
      <c r="M607" s="52">
        <v>376.08229999999998</v>
      </c>
      <c r="N607" s="5" t="s">
        <v>69</v>
      </c>
    </row>
    <row r="608" spans="1:14" x14ac:dyDescent="0.25">
      <c r="A608" s="51">
        <v>1.397</v>
      </c>
      <c r="B608" s="52">
        <v>7992.0652</v>
      </c>
      <c r="C608" s="52">
        <v>716.94640000000004</v>
      </c>
      <c r="D608" s="52">
        <v>358.47320000000002</v>
      </c>
      <c r="E608" s="52">
        <v>358.47320000000002</v>
      </c>
      <c r="F608" s="52">
        <v>1433.8928000000001</v>
      </c>
      <c r="G608" s="52">
        <v>716.94640000000004</v>
      </c>
      <c r="H608" s="52">
        <v>716.94640000000004</v>
      </c>
      <c r="I608" s="52">
        <v>1433.8928000000001</v>
      </c>
      <c r="J608" s="52">
        <v>376.08229999999998</v>
      </c>
      <c r="K608" s="52">
        <v>1128.2470000000001</v>
      </c>
      <c r="L608" s="52">
        <v>376.08229999999998</v>
      </c>
      <c r="M608" s="52">
        <v>376.08229999999998</v>
      </c>
      <c r="N608" s="5" t="s">
        <v>69</v>
      </c>
    </row>
    <row r="609" spans="1:14" x14ac:dyDescent="0.25">
      <c r="A609" s="51">
        <v>1.3979999999999999</v>
      </c>
      <c r="B609" s="52">
        <v>7996.1707999999999</v>
      </c>
      <c r="C609" s="52">
        <v>717.45960000000002</v>
      </c>
      <c r="D609" s="52">
        <v>358.72980000000001</v>
      </c>
      <c r="E609" s="52">
        <v>358.72980000000001</v>
      </c>
      <c r="F609" s="52">
        <v>1434.9192</v>
      </c>
      <c r="G609" s="52">
        <v>717.45960000000002</v>
      </c>
      <c r="H609" s="52">
        <v>717.45960000000002</v>
      </c>
      <c r="I609" s="52">
        <v>1434.9192</v>
      </c>
      <c r="J609" s="52">
        <v>376.08229999999998</v>
      </c>
      <c r="K609" s="52">
        <v>1128.2470000000001</v>
      </c>
      <c r="L609" s="52">
        <v>376.08229999999998</v>
      </c>
      <c r="M609" s="52">
        <v>376.08229999999998</v>
      </c>
      <c r="N609" s="5" t="s">
        <v>69</v>
      </c>
    </row>
    <row r="610" spans="1:14" x14ac:dyDescent="0.25">
      <c r="A610" s="51">
        <v>1.399</v>
      </c>
      <c r="B610" s="52">
        <v>8000.2763999999997</v>
      </c>
      <c r="C610" s="52">
        <v>717.97280000000001</v>
      </c>
      <c r="D610" s="52">
        <v>358.9864</v>
      </c>
      <c r="E610" s="52">
        <v>358.9864</v>
      </c>
      <c r="F610" s="52">
        <v>1435.9456</v>
      </c>
      <c r="G610" s="52">
        <v>717.97280000000001</v>
      </c>
      <c r="H610" s="52">
        <v>717.97280000000001</v>
      </c>
      <c r="I610" s="52">
        <v>1435.9456</v>
      </c>
      <c r="J610" s="52">
        <v>376.08229999999998</v>
      </c>
      <c r="K610" s="52">
        <v>1128.2470000000001</v>
      </c>
      <c r="L610" s="52">
        <v>376.08229999999998</v>
      </c>
      <c r="M610" s="52">
        <v>376.08229999999998</v>
      </c>
      <c r="N610" s="5" t="s">
        <v>69</v>
      </c>
    </row>
    <row r="611" spans="1:14" x14ac:dyDescent="0.25">
      <c r="A611" s="51">
        <v>1.4</v>
      </c>
      <c r="B611" s="52">
        <v>8040.7610999999997</v>
      </c>
      <c r="C611" s="52">
        <v>723.03340000000003</v>
      </c>
      <c r="D611" s="52">
        <v>361.51670000000001</v>
      </c>
      <c r="E611" s="52">
        <v>361.51670000000001</v>
      </c>
      <c r="F611" s="52">
        <v>1446.0668000000001</v>
      </c>
      <c r="G611" s="52">
        <v>723.03340000000003</v>
      </c>
      <c r="H611" s="52">
        <v>723.03340000000003</v>
      </c>
      <c r="I611" s="52">
        <v>1446.0668000000001</v>
      </c>
      <c r="J611" s="52">
        <v>376.08229999999998</v>
      </c>
      <c r="K611" s="52">
        <v>1128.2470000000001</v>
      </c>
      <c r="L611" s="52">
        <v>376.08229999999998</v>
      </c>
      <c r="M611" s="52">
        <v>376.08229999999998</v>
      </c>
      <c r="N611" s="5" t="s">
        <v>69</v>
      </c>
    </row>
    <row r="612" spans="1:14" x14ac:dyDescent="0.25">
      <c r="A612" s="51">
        <v>1.401</v>
      </c>
      <c r="B612" s="52">
        <v>8044.8927000000003</v>
      </c>
      <c r="C612" s="52">
        <v>723.5498</v>
      </c>
      <c r="D612" s="52">
        <v>361.7749</v>
      </c>
      <c r="E612" s="52">
        <v>361.7749</v>
      </c>
      <c r="F612" s="52">
        <v>1447.0997</v>
      </c>
      <c r="G612" s="52">
        <v>723.5498</v>
      </c>
      <c r="H612" s="52">
        <v>723.5498</v>
      </c>
      <c r="I612" s="52">
        <v>1447.0997</v>
      </c>
      <c r="J612" s="52">
        <v>376.08229999999998</v>
      </c>
      <c r="K612" s="52">
        <v>1128.2470000000001</v>
      </c>
      <c r="L612" s="52">
        <v>376.08229999999998</v>
      </c>
      <c r="M612" s="52">
        <v>376.08229999999998</v>
      </c>
      <c r="N612" s="5" t="s">
        <v>69</v>
      </c>
    </row>
    <row r="613" spans="1:14" x14ac:dyDescent="0.25">
      <c r="A613" s="51">
        <v>1.4019999999999999</v>
      </c>
      <c r="B613" s="52">
        <v>8049.0244000000002</v>
      </c>
      <c r="C613" s="52">
        <v>724.06629999999996</v>
      </c>
      <c r="D613" s="52">
        <v>362.03309999999999</v>
      </c>
      <c r="E613" s="52">
        <v>362.03309999999999</v>
      </c>
      <c r="F613" s="52">
        <v>1448.1325999999999</v>
      </c>
      <c r="G613" s="52">
        <v>724.06629999999996</v>
      </c>
      <c r="H613" s="52">
        <v>724.06629999999996</v>
      </c>
      <c r="I613" s="52">
        <v>1448.1325999999999</v>
      </c>
      <c r="J613" s="52">
        <v>376.08229999999998</v>
      </c>
      <c r="K613" s="52">
        <v>1128.2470000000001</v>
      </c>
      <c r="L613" s="52">
        <v>376.08229999999998</v>
      </c>
      <c r="M613" s="52">
        <v>376.08229999999998</v>
      </c>
      <c r="N613" s="5" t="s">
        <v>69</v>
      </c>
    </row>
    <row r="614" spans="1:14" x14ac:dyDescent="0.25">
      <c r="A614" s="51">
        <v>1.403</v>
      </c>
      <c r="B614" s="52">
        <v>8053.1559999999999</v>
      </c>
      <c r="C614" s="52">
        <v>724.58270000000005</v>
      </c>
      <c r="D614" s="52">
        <v>362.29140000000001</v>
      </c>
      <c r="E614" s="52">
        <v>362.29140000000001</v>
      </c>
      <c r="F614" s="52">
        <v>1449.1655000000001</v>
      </c>
      <c r="G614" s="52">
        <v>724.58270000000005</v>
      </c>
      <c r="H614" s="52">
        <v>724.58270000000005</v>
      </c>
      <c r="I614" s="52">
        <v>1449.1655000000001</v>
      </c>
      <c r="J614" s="52">
        <v>376.08229999999998</v>
      </c>
      <c r="K614" s="52">
        <v>1128.2470000000001</v>
      </c>
      <c r="L614" s="52">
        <v>376.08229999999998</v>
      </c>
      <c r="M614" s="52">
        <v>376.08229999999998</v>
      </c>
      <c r="N614" s="5" t="s">
        <v>69</v>
      </c>
    </row>
    <row r="615" spans="1:14" x14ac:dyDescent="0.25">
      <c r="A615" s="51">
        <v>1.4039999999999999</v>
      </c>
      <c r="B615" s="52">
        <v>8057.2875999999997</v>
      </c>
      <c r="C615" s="52">
        <v>725.0992</v>
      </c>
      <c r="D615" s="52">
        <v>362.5496</v>
      </c>
      <c r="E615" s="52">
        <v>362.5496</v>
      </c>
      <c r="F615" s="52">
        <v>1450.1984</v>
      </c>
      <c r="G615" s="52">
        <v>725.0992</v>
      </c>
      <c r="H615" s="52">
        <v>725.0992</v>
      </c>
      <c r="I615" s="52">
        <v>1450.1984</v>
      </c>
      <c r="J615" s="52">
        <v>376.08229999999998</v>
      </c>
      <c r="K615" s="52">
        <v>1128.2470000000001</v>
      </c>
      <c r="L615" s="52">
        <v>376.08229999999998</v>
      </c>
      <c r="M615" s="52">
        <v>376.08229999999998</v>
      </c>
      <c r="N615" s="5" t="s">
        <v>69</v>
      </c>
    </row>
    <row r="616" spans="1:14" x14ac:dyDescent="0.25">
      <c r="A616" s="51">
        <v>1.405</v>
      </c>
      <c r="B616" s="52">
        <v>8061.4192000000003</v>
      </c>
      <c r="C616" s="52">
        <v>725.61569999999995</v>
      </c>
      <c r="D616" s="52">
        <v>362.80779999999999</v>
      </c>
      <c r="E616" s="52">
        <v>362.80779999999999</v>
      </c>
      <c r="F616" s="52">
        <v>1451.2312999999999</v>
      </c>
      <c r="G616" s="52">
        <v>725.61569999999995</v>
      </c>
      <c r="H616" s="52">
        <v>725.61569999999995</v>
      </c>
      <c r="I616" s="52">
        <v>1451.2312999999999</v>
      </c>
      <c r="J616" s="52">
        <v>376.08229999999998</v>
      </c>
      <c r="K616" s="52">
        <v>1128.2470000000001</v>
      </c>
      <c r="L616" s="52">
        <v>376.08229999999998</v>
      </c>
      <c r="M616" s="52">
        <v>376.08229999999998</v>
      </c>
      <c r="N616" s="5" t="s">
        <v>69</v>
      </c>
    </row>
    <row r="617" spans="1:14" x14ac:dyDescent="0.25">
      <c r="A617" s="51">
        <v>1.4059999999999999</v>
      </c>
      <c r="B617" s="52">
        <v>8065.5508</v>
      </c>
      <c r="C617" s="52">
        <v>726.13210000000004</v>
      </c>
      <c r="D617" s="52">
        <v>363.06610000000001</v>
      </c>
      <c r="E617" s="52">
        <v>363.06610000000001</v>
      </c>
      <c r="F617" s="52">
        <v>1452.2642000000001</v>
      </c>
      <c r="G617" s="52">
        <v>726.13210000000004</v>
      </c>
      <c r="H617" s="52">
        <v>726.13210000000004</v>
      </c>
      <c r="I617" s="52">
        <v>1452.2642000000001</v>
      </c>
      <c r="J617" s="52">
        <v>376.08229999999998</v>
      </c>
      <c r="K617" s="52">
        <v>1128.2470000000001</v>
      </c>
      <c r="L617" s="52">
        <v>376.08229999999998</v>
      </c>
      <c r="M617" s="52">
        <v>376.08229999999998</v>
      </c>
      <c r="N617" s="5" t="s">
        <v>69</v>
      </c>
    </row>
    <row r="618" spans="1:14" x14ac:dyDescent="0.25">
      <c r="A618" s="51">
        <v>1.407</v>
      </c>
      <c r="B618" s="52">
        <v>8069.6823999999997</v>
      </c>
      <c r="C618" s="52">
        <v>726.64859999999999</v>
      </c>
      <c r="D618" s="52">
        <v>363.32429999999999</v>
      </c>
      <c r="E618" s="52">
        <v>363.32429999999999</v>
      </c>
      <c r="F618" s="52">
        <v>1453.2971</v>
      </c>
      <c r="G618" s="52">
        <v>726.64859999999999</v>
      </c>
      <c r="H618" s="52">
        <v>726.64859999999999</v>
      </c>
      <c r="I618" s="52">
        <v>1453.2971</v>
      </c>
      <c r="J618" s="52">
        <v>376.08229999999998</v>
      </c>
      <c r="K618" s="52">
        <v>1128.2470000000001</v>
      </c>
      <c r="L618" s="52">
        <v>376.08229999999998</v>
      </c>
      <c r="M618" s="52">
        <v>376.08229999999998</v>
      </c>
      <c r="N618" s="5" t="s">
        <v>69</v>
      </c>
    </row>
    <row r="619" spans="1:14" x14ac:dyDescent="0.25">
      <c r="A619" s="51">
        <v>1.4079999999999999</v>
      </c>
      <c r="B619" s="52">
        <v>8073.8140999999996</v>
      </c>
      <c r="C619" s="52">
        <v>727.16499999999996</v>
      </c>
      <c r="D619" s="52">
        <v>363.58249999999998</v>
      </c>
      <c r="E619" s="52">
        <v>363.58249999999998</v>
      </c>
      <c r="F619" s="52">
        <v>1454.33</v>
      </c>
      <c r="G619" s="52">
        <v>727.16499999999996</v>
      </c>
      <c r="H619" s="52">
        <v>727.16499999999996</v>
      </c>
      <c r="I619" s="52">
        <v>1454.33</v>
      </c>
      <c r="J619" s="52">
        <v>376.08229999999998</v>
      </c>
      <c r="K619" s="52">
        <v>1128.2470000000001</v>
      </c>
      <c r="L619" s="52">
        <v>376.08229999999998</v>
      </c>
      <c r="M619" s="52">
        <v>376.08229999999998</v>
      </c>
      <c r="N619" s="5" t="s">
        <v>69</v>
      </c>
    </row>
    <row r="620" spans="1:14" x14ac:dyDescent="0.25">
      <c r="A620" s="51">
        <v>1.409</v>
      </c>
      <c r="B620" s="52">
        <v>8077.9457000000002</v>
      </c>
      <c r="C620" s="52">
        <v>727.68150000000003</v>
      </c>
      <c r="D620" s="52">
        <v>363.84070000000003</v>
      </c>
      <c r="E620" s="52">
        <v>363.84070000000003</v>
      </c>
      <c r="F620" s="52">
        <v>1455.3629000000001</v>
      </c>
      <c r="G620" s="52">
        <v>727.68150000000003</v>
      </c>
      <c r="H620" s="52">
        <v>727.68150000000003</v>
      </c>
      <c r="I620" s="52">
        <v>1455.3629000000001</v>
      </c>
      <c r="J620" s="52">
        <v>376.08229999999998</v>
      </c>
      <c r="K620" s="52">
        <v>1128.2470000000001</v>
      </c>
      <c r="L620" s="52">
        <v>376.08229999999998</v>
      </c>
      <c r="M620" s="52">
        <v>376.08229999999998</v>
      </c>
      <c r="N620" s="5" t="s">
        <v>69</v>
      </c>
    </row>
    <row r="621" spans="1:14" x14ac:dyDescent="0.25">
      <c r="A621" s="51">
        <v>1.41</v>
      </c>
      <c r="B621" s="52">
        <v>8082.0772999999999</v>
      </c>
      <c r="C621" s="52">
        <v>728.1979</v>
      </c>
      <c r="D621" s="52">
        <v>364.09899999999999</v>
      </c>
      <c r="E621" s="52">
        <v>364.09899999999999</v>
      </c>
      <c r="F621" s="52">
        <v>1456.3958</v>
      </c>
      <c r="G621" s="52">
        <v>728.1979</v>
      </c>
      <c r="H621" s="52">
        <v>728.1979</v>
      </c>
      <c r="I621" s="52">
        <v>1456.3958</v>
      </c>
      <c r="J621" s="52">
        <v>376.08229999999998</v>
      </c>
      <c r="K621" s="52">
        <v>1128.2470000000001</v>
      </c>
      <c r="L621" s="52">
        <v>376.08229999999998</v>
      </c>
      <c r="M621" s="52">
        <v>376.08229999999998</v>
      </c>
      <c r="N621" s="5" t="s">
        <v>69</v>
      </c>
    </row>
    <row r="622" spans="1:14" x14ac:dyDescent="0.25">
      <c r="A622" s="51">
        <v>1.411</v>
      </c>
      <c r="B622" s="52">
        <v>8086.2088999999996</v>
      </c>
      <c r="C622" s="52">
        <v>728.71439999999996</v>
      </c>
      <c r="D622" s="52">
        <v>364.35719999999998</v>
      </c>
      <c r="E622" s="52">
        <v>364.35719999999998</v>
      </c>
      <c r="F622" s="52">
        <v>1457.4286999999999</v>
      </c>
      <c r="G622" s="52">
        <v>728.71439999999996</v>
      </c>
      <c r="H622" s="52">
        <v>728.71439999999996</v>
      </c>
      <c r="I622" s="52">
        <v>1457.4286999999999</v>
      </c>
      <c r="J622" s="52">
        <v>376.08229999999998</v>
      </c>
      <c r="K622" s="52">
        <v>1128.2470000000001</v>
      </c>
      <c r="L622" s="52">
        <v>376.08229999999998</v>
      </c>
      <c r="M622" s="52">
        <v>376.08229999999998</v>
      </c>
      <c r="N622" s="5" t="s">
        <v>69</v>
      </c>
    </row>
    <row r="623" spans="1:14" x14ac:dyDescent="0.25">
      <c r="A623" s="51">
        <v>1.4119999999999999</v>
      </c>
      <c r="B623" s="52">
        <v>8090.3405000000002</v>
      </c>
      <c r="C623" s="52">
        <v>729.23080000000004</v>
      </c>
      <c r="D623" s="52">
        <v>364.61540000000002</v>
      </c>
      <c r="E623" s="52">
        <v>364.61540000000002</v>
      </c>
      <c r="F623" s="52">
        <v>1458.4616000000001</v>
      </c>
      <c r="G623" s="52">
        <v>729.23080000000004</v>
      </c>
      <c r="H623" s="52">
        <v>729.23080000000004</v>
      </c>
      <c r="I623" s="52">
        <v>1458.4616000000001</v>
      </c>
      <c r="J623" s="52">
        <v>376.08229999999998</v>
      </c>
      <c r="K623" s="52">
        <v>1128.2470000000001</v>
      </c>
      <c r="L623" s="52">
        <v>376.08229999999998</v>
      </c>
      <c r="M623" s="52">
        <v>376.08229999999998</v>
      </c>
      <c r="N623" s="5" t="s">
        <v>69</v>
      </c>
    </row>
    <row r="624" spans="1:14" x14ac:dyDescent="0.25">
      <c r="A624" s="51">
        <v>1.413</v>
      </c>
      <c r="B624" s="52">
        <v>8094.4722000000002</v>
      </c>
      <c r="C624" s="52">
        <v>729.7473</v>
      </c>
      <c r="D624" s="52">
        <v>364.87360000000001</v>
      </c>
      <c r="E624" s="52">
        <v>364.87360000000001</v>
      </c>
      <c r="F624" s="52">
        <v>1459.4945</v>
      </c>
      <c r="G624" s="52">
        <v>729.7473</v>
      </c>
      <c r="H624" s="52">
        <v>729.7473</v>
      </c>
      <c r="I624" s="52">
        <v>1459.4945</v>
      </c>
      <c r="J624" s="52">
        <v>376.08229999999998</v>
      </c>
      <c r="K624" s="52">
        <v>1128.2470000000001</v>
      </c>
      <c r="L624" s="52">
        <v>376.08229999999998</v>
      </c>
      <c r="M624" s="52">
        <v>376.08229999999998</v>
      </c>
      <c r="N624" s="5" t="s">
        <v>69</v>
      </c>
    </row>
    <row r="625" spans="1:14" x14ac:dyDescent="0.25">
      <c r="A625" s="51">
        <v>1.4139999999999999</v>
      </c>
      <c r="B625" s="52">
        <v>8098.6037999999999</v>
      </c>
      <c r="C625" s="52">
        <v>730.26369999999997</v>
      </c>
      <c r="D625" s="52">
        <v>365.13189999999997</v>
      </c>
      <c r="E625" s="52">
        <v>365.13189999999997</v>
      </c>
      <c r="F625" s="52">
        <v>1460.5273999999999</v>
      </c>
      <c r="G625" s="52">
        <v>730.26369999999997</v>
      </c>
      <c r="H625" s="52">
        <v>730.26369999999997</v>
      </c>
      <c r="I625" s="52">
        <v>1460.5273999999999</v>
      </c>
      <c r="J625" s="52">
        <v>376.08229999999998</v>
      </c>
      <c r="K625" s="52">
        <v>1128.2470000000001</v>
      </c>
      <c r="L625" s="52">
        <v>376.08229999999998</v>
      </c>
      <c r="M625" s="52">
        <v>376.08229999999998</v>
      </c>
      <c r="N625" s="5" t="s">
        <v>69</v>
      </c>
    </row>
    <row r="626" spans="1:14" x14ac:dyDescent="0.25">
      <c r="A626" s="51">
        <v>1.415</v>
      </c>
      <c r="B626" s="52">
        <v>8102.7353999999996</v>
      </c>
      <c r="C626" s="52">
        <v>730.78020000000004</v>
      </c>
      <c r="D626" s="52">
        <v>365.39010000000002</v>
      </c>
      <c r="E626" s="52">
        <v>365.39010000000002</v>
      </c>
      <c r="F626" s="52">
        <v>1461.5604000000001</v>
      </c>
      <c r="G626" s="52">
        <v>730.78020000000004</v>
      </c>
      <c r="H626" s="52">
        <v>730.78020000000004</v>
      </c>
      <c r="I626" s="52">
        <v>1461.5604000000001</v>
      </c>
      <c r="J626" s="52">
        <v>376.08229999999998</v>
      </c>
      <c r="K626" s="52">
        <v>1128.2470000000001</v>
      </c>
      <c r="L626" s="52">
        <v>376.08229999999998</v>
      </c>
      <c r="M626" s="52">
        <v>376.08229999999998</v>
      </c>
      <c r="N626" s="5" t="s">
        <v>69</v>
      </c>
    </row>
    <row r="627" spans="1:14" x14ac:dyDescent="0.25">
      <c r="A627" s="51">
        <v>1.4159999999999999</v>
      </c>
      <c r="B627" s="52">
        <v>8106.8670000000002</v>
      </c>
      <c r="C627" s="52">
        <v>731.29660000000001</v>
      </c>
      <c r="D627" s="52">
        <v>365.64830000000001</v>
      </c>
      <c r="E627" s="52">
        <v>365.64830000000001</v>
      </c>
      <c r="F627" s="52">
        <v>1462.5933</v>
      </c>
      <c r="G627" s="52">
        <v>731.29660000000001</v>
      </c>
      <c r="H627" s="52">
        <v>731.29660000000001</v>
      </c>
      <c r="I627" s="52">
        <v>1462.5933</v>
      </c>
      <c r="J627" s="52">
        <v>376.08229999999998</v>
      </c>
      <c r="K627" s="52">
        <v>1128.2470000000001</v>
      </c>
      <c r="L627" s="52">
        <v>376.08229999999998</v>
      </c>
      <c r="M627" s="52">
        <v>376.08229999999998</v>
      </c>
      <c r="N627" s="5" t="s">
        <v>69</v>
      </c>
    </row>
    <row r="628" spans="1:14" x14ac:dyDescent="0.25">
      <c r="A628" s="51">
        <v>1.417</v>
      </c>
      <c r="B628" s="52">
        <v>8110.9985999999999</v>
      </c>
      <c r="C628" s="52">
        <v>731.81309999999996</v>
      </c>
      <c r="D628" s="52">
        <v>365.90649999999999</v>
      </c>
      <c r="E628" s="52">
        <v>365.90649999999999</v>
      </c>
      <c r="F628" s="52">
        <v>1463.6261999999999</v>
      </c>
      <c r="G628" s="52">
        <v>731.81309999999996</v>
      </c>
      <c r="H628" s="52">
        <v>731.81309999999996</v>
      </c>
      <c r="I628" s="52">
        <v>1463.6261999999999</v>
      </c>
      <c r="J628" s="52">
        <v>376.08229999999998</v>
      </c>
      <c r="K628" s="52">
        <v>1128.2470000000001</v>
      </c>
      <c r="L628" s="52">
        <v>376.08229999999998</v>
      </c>
      <c r="M628" s="52">
        <v>376.08229999999998</v>
      </c>
      <c r="N628" s="5" t="s">
        <v>69</v>
      </c>
    </row>
    <row r="629" spans="1:14" x14ac:dyDescent="0.25">
      <c r="A629" s="51">
        <v>1.4179999999999999</v>
      </c>
      <c r="B629" s="52">
        <v>8115.1302999999998</v>
      </c>
      <c r="C629" s="52">
        <v>732.32950000000005</v>
      </c>
      <c r="D629" s="52">
        <v>366.16480000000001</v>
      </c>
      <c r="E629" s="52">
        <v>366.16480000000001</v>
      </c>
      <c r="F629" s="52">
        <v>1464.6591000000001</v>
      </c>
      <c r="G629" s="52">
        <v>732.32950000000005</v>
      </c>
      <c r="H629" s="52">
        <v>732.32950000000005</v>
      </c>
      <c r="I629" s="52">
        <v>1464.6591000000001</v>
      </c>
      <c r="J629" s="52">
        <v>376.08229999999998</v>
      </c>
      <c r="K629" s="52">
        <v>1128.2470000000001</v>
      </c>
      <c r="L629" s="52">
        <v>376.08229999999998</v>
      </c>
      <c r="M629" s="52">
        <v>376.08229999999998</v>
      </c>
      <c r="N629" s="5" t="s">
        <v>69</v>
      </c>
    </row>
    <row r="630" spans="1:14" x14ac:dyDescent="0.25">
      <c r="A630" s="51">
        <v>1.419</v>
      </c>
      <c r="B630" s="52">
        <v>8119.2619000000004</v>
      </c>
      <c r="C630" s="52">
        <v>732.846</v>
      </c>
      <c r="D630" s="52">
        <v>366.423</v>
      </c>
      <c r="E630" s="52">
        <v>366.423</v>
      </c>
      <c r="F630" s="52">
        <v>1465.692</v>
      </c>
      <c r="G630" s="52">
        <v>732.846</v>
      </c>
      <c r="H630" s="52">
        <v>732.846</v>
      </c>
      <c r="I630" s="52">
        <v>1465.692</v>
      </c>
      <c r="J630" s="52">
        <v>376.08229999999998</v>
      </c>
      <c r="K630" s="52">
        <v>1128.2470000000001</v>
      </c>
      <c r="L630" s="52">
        <v>376.08229999999998</v>
      </c>
      <c r="M630" s="52">
        <v>376.08229999999998</v>
      </c>
      <c r="N630" s="5" t="s">
        <v>69</v>
      </c>
    </row>
    <row r="631" spans="1:14" x14ac:dyDescent="0.25">
      <c r="A631" s="51">
        <v>1.42</v>
      </c>
      <c r="B631" s="52">
        <v>8123.3935000000001</v>
      </c>
      <c r="C631" s="52">
        <v>733.36239999999998</v>
      </c>
      <c r="D631" s="52">
        <v>366.68119999999999</v>
      </c>
      <c r="E631" s="52">
        <v>366.68119999999999</v>
      </c>
      <c r="F631" s="52">
        <v>1466.7248999999999</v>
      </c>
      <c r="G631" s="52">
        <v>733.36239999999998</v>
      </c>
      <c r="H631" s="52">
        <v>733.36239999999998</v>
      </c>
      <c r="I631" s="52">
        <v>1466.7248999999999</v>
      </c>
      <c r="J631" s="52">
        <v>376.08229999999998</v>
      </c>
      <c r="K631" s="52">
        <v>1128.2470000000001</v>
      </c>
      <c r="L631" s="52">
        <v>376.08229999999998</v>
      </c>
      <c r="M631" s="52">
        <v>376.08229999999998</v>
      </c>
      <c r="N631" s="5" t="s">
        <v>69</v>
      </c>
    </row>
    <row r="632" spans="1:14" x14ac:dyDescent="0.25">
      <c r="A632" s="51">
        <v>1.421</v>
      </c>
      <c r="B632" s="52">
        <v>8127.5250999999998</v>
      </c>
      <c r="C632" s="52">
        <v>733.87890000000004</v>
      </c>
      <c r="D632" s="52">
        <v>366.93939999999998</v>
      </c>
      <c r="E632" s="52">
        <v>366.93939999999998</v>
      </c>
      <c r="F632" s="52">
        <v>1467.7578000000001</v>
      </c>
      <c r="G632" s="52">
        <v>733.87890000000004</v>
      </c>
      <c r="H632" s="52">
        <v>733.87890000000004</v>
      </c>
      <c r="I632" s="52">
        <v>1467.7578000000001</v>
      </c>
      <c r="J632" s="52">
        <v>376.08229999999998</v>
      </c>
      <c r="K632" s="52">
        <v>1128.2470000000001</v>
      </c>
      <c r="L632" s="52">
        <v>376.08229999999998</v>
      </c>
      <c r="M632" s="52">
        <v>376.08229999999998</v>
      </c>
      <c r="N632" s="5" t="s">
        <v>69</v>
      </c>
    </row>
    <row r="633" spans="1:14" x14ac:dyDescent="0.25">
      <c r="A633" s="51">
        <v>1.4219999999999999</v>
      </c>
      <c r="B633" s="52">
        <v>8131.6566999999995</v>
      </c>
      <c r="C633" s="52">
        <v>734.39530000000002</v>
      </c>
      <c r="D633" s="52">
        <v>367.1977</v>
      </c>
      <c r="E633" s="52">
        <v>367.1977</v>
      </c>
      <c r="F633" s="52">
        <v>1468.7907</v>
      </c>
      <c r="G633" s="52">
        <v>734.39530000000002</v>
      </c>
      <c r="H633" s="52">
        <v>734.39530000000002</v>
      </c>
      <c r="I633" s="52">
        <v>1468.7907</v>
      </c>
      <c r="J633" s="52">
        <v>376.08229999999998</v>
      </c>
      <c r="K633" s="52">
        <v>1128.2470000000001</v>
      </c>
      <c r="L633" s="52">
        <v>376.08229999999998</v>
      </c>
      <c r="M633" s="52">
        <v>376.08229999999998</v>
      </c>
      <c r="N633" s="5" t="s">
        <v>69</v>
      </c>
    </row>
    <row r="634" spans="1:14" x14ac:dyDescent="0.25">
      <c r="A634" s="51">
        <v>1.423</v>
      </c>
      <c r="B634" s="52">
        <v>8135.7884000000004</v>
      </c>
      <c r="C634" s="52">
        <v>734.91179999999997</v>
      </c>
      <c r="D634" s="52">
        <v>367.45589999999999</v>
      </c>
      <c r="E634" s="52">
        <v>367.45589999999999</v>
      </c>
      <c r="F634" s="52">
        <v>1469.8235999999999</v>
      </c>
      <c r="G634" s="52">
        <v>734.91179999999997</v>
      </c>
      <c r="H634" s="52">
        <v>734.91179999999997</v>
      </c>
      <c r="I634" s="52">
        <v>1469.8235999999999</v>
      </c>
      <c r="J634" s="52">
        <v>376.08229999999998</v>
      </c>
      <c r="K634" s="52">
        <v>1128.2470000000001</v>
      </c>
      <c r="L634" s="52">
        <v>376.08229999999998</v>
      </c>
      <c r="M634" s="52">
        <v>376.08229999999998</v>
      </c>
      <c r="N634" s="5" t="s">
        <v>69</v>
      </c>
    </row>
    <row r="635" spans="1:14" x14ac:dyDescent="0.25">
      <c r="A635" s="51">
        <v>1.4239999999999999</v>
      </c>
      <c r="B635" s="52">
        <v>8139.92</v>
      </c>
      <c r="C635" s="52">
        <v>735.42819999999995</v>
      </c>
      <c r="D635" s="52">
        <v>367.71409999999997</v>
      </c>
      <c r="E635" s="52">
        <v>367.71409999999997</v>
      </c>
      <c r="F635" s="52">
        <v>1470.8565000000001</v>
      </c>
      <c r="G635" s="52">
        <v>735.42819999999995</v>
      </c>
      <c r="H635" s="52">
        <v>735.42819999999995</v>
      </c>
      <c r="I635" s="52">
        <v>1470.8565000000001</v>
      </c>
      <c r="J635" s="52">
        <v>376.08229999999998</v>
      </c>
      <c r="K635" s="52">
        <v>1128.2470000000001</v>
      </c>
      <c r="L635" s="52">
        <v>376.08229999999998</v>
      </c>
      <c r="M635" s="52">
        <v>376.08229999999998</v>
      </c>
      <c r="N635" s="5" t="s">
        <v>69</v>
      </c>
    </row>
    <row r="636" spans="1:14" x14ac:dyDescent="0.25">
      <c r="A636" s="51">
        <v>1.425</v>
      </c>
      <c r="B636" s="52">
        <v>8144.0515999999998</v>
      </c>
      <c r="C636" s="52">
        <v>735.94470000000001</v>
      </c>
      <c r="D636" s="52">
        <v>367.97239999999999</v>
      </c>
      <c r="E636" s="52">
        <v>367.97239999999999</v>
      </c>
      <c r="F636" s="52">
        <v>1471.8894</v>
      </c>
      <c r="G636" s="52">
        <v>735.94470000000001</v>
      </c>
      <c r="H636" s="52">
        <v>735.94470000000001</v>
      </c>
      <c r="I636" s="52">
        <v>1471.8894</v>
      </c>
      <c r="J636" s="52">
        <v>376.08229999999998</v>
      </c>
      <c r="K636" s="52">
        <v>1128.2470000000001</v>
      </c>
      <c r="L636" s="52">
        <v>376.08229999999998</v>
      </c>
      <c r="M636" s="52">
        <v>376.08229999999998</v>
      </c>
      <c r="N636" s="5" t="s">
        <v>69</v>
      </c>
    </row>
    <row r="637" spans="1:14" x14ac:dyDescent="0.25">
      <c r="A637" s="51">
        <v>1.4259999999999999</v>
      </c>
      <c r="B637" s="52">
        <v>8148.1832000000004</v>
      </c>
      <c r="C637" s="52">
        <v>736.46119999999996</v>
      </c>
      <c r="D637" s="52">
        <v>368.23059999999998</v>
      </c>
      <c r="E637" s="52">
        <v>368.23059999999998</v>
      </c>
      <c r="F637" s="52">
        <v>1472.9223</v>
      </c>
      <c r="G637" s="52">
        <v>736.46119999999996</v>
      </c>
      <c r="H637" s="52">
        <v>736.46119999999996</v>
      </c>
      <c r="I637" s="52">
        <v>1472.9223</v>
      </c>
      <c r="J637" s="52">
        <v>376.08229999999998</v>
      </c>
      <c r="K637" s="52">
        <v>1128.2470000000001</v>
      </c>
      <c r="L637" s="52">
        <v>376.08229999999998</v>
      </c>
      <c r="M637" s="52">
        <v>376.08229999999998</v>
      </c>
      <c r="N637" s="5" t="s">
        <v>69</v>
      </c>
    </row>
    <row r="638" spans="1:14" x14ac:dyDescent="0.25">
      <c r="A638" s="51">
        <v>1.427</v>
      </c>
      <c r="B638" s="52">
        <v>8152.3148000000001</v>
      </c>
      <c r="C638" s="52">
        <v>736.97760000000005</v>
      </c>
      <c r="D638" s="52">
        <v>368.48880000000003</v>
      </c>
      <c r="E638" s="52">
        <v>368.48880000000003</v>
      </c>
      <c r="F638" s="52">
        <v>1473.9552000000001</v>
      </c>
      <c r="G638" s="52">
        <v>736.97760000000005</v>
      </c>
      <c r="H638" s="52">
        <v>736.97760000000005</v>
      </c>
      <c r="I638" s="52">
        <v>1473.9552000000001</v>
      </c>
      <c r="J638" s="52">
        <v>376.08229999999998</v>
      </c>
      <c r="K638" s="52">
        <v>1128.2470000000001</v>
      </c>
      <c r="L638" s="52">
        <v>376.08229999999998</v>
      </c>
      <c r="M638" s="52">
        <v>376.08229999999998</v>
      </c>
      <c r="N638" s="5" t="s">
        <v>69</v>
      </c>
    </row>
    <row r="639" spans="1:14" x14ac:dyDescent="0.25">
      <c r="A639" s="51">
        <v>1.4279999999999999</v>
      </c>
      <c r="B639" s="52">
        <v>8156.4465</v>
      </c>
      <c r="C639" s="52">
        <v>737.4941</v>
      </c>
      <c r="D639" s="52">
        <v>368.74700000000001</v>
      </c>
      <c r="E639" s="52">
        <v>368.74700000000001</v>
      </c>
      <c r="F639" s="52">
        <v>1474.9881</v>
      </c>
      <c r="G639" s="52">
        <v>737.4941</v>
      </c>
      <c r="H639" s="52">
        <v>737.4941</v>
      </c>
      <c r="I639" s="52">
        <v>1474.9881</v>
      </c>
      <c r="J639" s="52">
        <v>376.08229999999998</v>
      </c>
      <c r="K639" s="52">
        <v>1128.2470000000001</v>
      </c>
      <c r="L639" s="52">
        <v>376.08229999999998</v>
      </c>
      <c r="M639" s="52">
        <v>376.08229999999998</v>
      </c>
      <c r="N639" s="5" t="s">
        <v>69</v>
      </c>
    </row>
    <row r="640" spans="1:14" x14ac:dyDescent="0.25">
      <c r="A640" s="51">
        <v>1.429</v>
      </c>
      <c r="B640" s="52">
        <v>8160.5780999999997</v>
      </c>
      <c r="C640" s="52">
        <v>738.01049999999998</v>
      </c>
      <c r="D640" s="52">
        <v>369.00529999999998</v>
      </c>
      <c r="E640" s="52">
        <v>369.00529999999998</v>
      </c>
      <c r="F640" s="52">
        <v>1476.021</v>
      </c>
      <c r="G640" s="52">
        <v>738.01049999999998</v>
      </c>
      <c r="H640" s="52">
        <v>738.01049999999998</v>
      </c>
      <c r="I640" s="52">
        <v>1476.021</v>
      </c>
      <c r="J640" s="52">
        <v>376.08229999999998</v>
      </c>
      <c r="K640" s="52">
        <v>1128.2470000000001</v>
      </c>
      <c r="L640" s="52">
        <v>376.08229999999998</v>
      </c>
      <c r="M640" s="52">
        <v>376.08229999999998</v>
      </c>
      <c r="N640" s="5" t="s">
        <v>69</v>
      </c>
    </row>
    <row r="641" spans="1:14" x14ac:dyDescent="0.25">
      <c r="A641" s="51">
        <v>1.43</v>
      </c>
      <c r="B641" s="52">
        <v>8164.7097000000003</v>
      </c>
      <c r="C641" s="52">
        <v>738.52700000000004</v>
      </c>
      <c r="D641" s="52">
        <v>369.26350000000002</v>
      </c>
      <c r="E641" s="52">
        <v>369.26350000000002</v>
      </c>
      <c r="F641" s="52">
        <v>1477.0539000000001</v>
      </c>
      <c r="G641" s="52">
        <v>738.52700000000004</v>
      </c>
      <c r="H641" s="52">
        <v>738.52700000000004</v>
      </c>
      <c r="I641" s="52">
        <v>1477.0539000000001</v>
      </c>
      <c r="J641" s="52">
        <v>376.08229999999998</v>
      </c>
      <c r="K641" s="52">
        <v>1128.2470000000001</v>
      </c>
      <c r="L641" s="52">
        <v>376.08229999999998</v>
      </c>
      <c r="M641" s="52">
        <v>376.08229999999998</v>
      </c>
      <c r="N641" s="5" t="s">
        <v>69</v>
      </c>
    </row>
    <row r="642" spans="1:14" x14ac:dyDescent="0.25">
      <c r="A642" s="51">
        <v>1.431</v>
      </c>
      <c r="B642" s="52">
        <v>8168.8413</v>
      </c>
      <c r="C642" s="52">
        <v>739.04340000000002</v>
      </c>
      <c r="D642" s="52">
        <v>369.52170000000001</v>
      </c>
      <c r="E642" s="52">
        <v>369.52170000000001</v>
      </c>
      <c r="F642" s="52">
        <v>1478.0868</v>
      </c>
      <c r="G642" s="52">
        <v>739.04340000000002</v>
      </c>
      <c r="H642" s="52">
        <v>739.04340000000002</v>
      </c>
      <c r="I642" s="52">
        <v>1478.0868</v>
      </c>
      <c r="J642" s="52">
        <v>376.08229999999998</v>
      </c>
      <c r="K642" s="52">
        <v>1128.2470000000001</v>
      </c>
      <c r="L642" s="52">
        <v>376.08229999999998</v>
      </c>
      <c r="M642" s="52">
        <v>376.08229999999998</v>
      </c>
      <c r="N642" s="5" t="s">
        <v>69</v>
      </c>
    </row>
    <row r="643" spans="1:14" x14ac:dyDescent="0.25">
      <c r="A643" s="51">
        <v>1.4319999999999999</v>
      </c>
      <c r="B643" s="52">
        <v>8172.9728999999998</v>
      </c>
      <c r="C643" s="52">
        <v>739.55989999999997</v>
      </c>
      <c r="D643" s="52">
        <v>369.7799</v>
      </c>
      <c r="E643" s="52">
        <v>369.7799</v>
      </c>
      <c r="F643" s="52">
        <v>1479.1197</v>
      </c>
      <c r="G643" s="52">
        <v>739.55989999999997</v>
      </c>
      <c r="H643" s="52">
        <v>739.55989999999997</v>
      </c>
      <c r="I643" s="52">
        <v>1479.1197</v>
      </c>
      <c r="J643" s="52">
        <v>376.08229999999998</v>
      </c>
      <c r="K643" s="52">
        <v>1128.2470000000001</v>
      </c>
      <c r="L643" s="52">
        <v>376.08229999999998</v>
      </c>
      <c r="M643" s="52">
        <v>376.08229999999998</v>
      </c>
      <c r="N643" s="5" t="s">
        <v>69</v>
      </c>
    </row>
    <row r="644" spans="1:14" x14ac:dyDescent="0.25">
      <c r="A644" s="51">
        <v>1.4330000000000001</v>
      </c>
      <c r="B644" s="52">
        <v>8177.1045999999997</v>
      </c>
      <c r="C644" s="52">
        <v>740.07629999999995</v>
      </c>
      <c r="D644" s="52">
        <v>370.03820000000002</v>
      </c>
      <c r="E644" s="52">
        <v>370.03820000000002</v>
      </c>
      <c r="F644" s="52">
        <v>1480.1525999999999</v>
      </c>
      <c r="G644" s="52">
        <v>740.07629999999995</v>
      </c>
      <c r="H644" s="52">
        <v>740.07629999999995</v>
      </c>
      <c r="I644" s="52">
        <v>1480.1525999999999</v>
      </c>
      <c r="J644" s="52">
        <v>376.08229999999998</v>
      </c>
      <c r="K644" s="52">
        <v>1128.2470000000001</v>
      </c>
      <c r="L644" s="52">
        <v>376.08229999999998</v>
      </c>
      <c r="M644" s="52">
        <v>376.08229999999998</v>
      </c>
      <c r="N644" s="5" t="s">
        <v>69</v>
      </c>
    </row>
    <row r="645" spans="1:14" x14ac:dyDescent="0.25">
      <c r="A645" s="51">
        <v>1.4339999999999999</v>
      </c>
      <c r="B645" s="52">
        <v>8181.2362000000003</v>
      </c>
      <c r="C645" s="52">
        <v>740.59280000000001</v>
      </c>
      <c r="D645" s="52">
        <v>370.29640000000001</v>
      </c>
      <c r="E645" s="52">
        <v>370.29640000000001</v>
      </c>
      <c r="F645" s="52">
        <v>1481.1855</v>
      </c>
      <c r="G645" s="52">
        <v>740.59280000000001</v>
      </c>
      <c r="H645" s="52">
        <v>740.59280000000001</v>
      </c>
      <c r="I645" s="52">
        <v>1481.1855</v>
      </c>
      <c r="J645" s="52">
        <v>376.08229999999998</v>
      </c>
      <c r="K645" s="52">
        <v>1128.2470000000001</v>
      </c>
      <c r="L645" s="52">
        <v>376.08229999999998</v>
      </c>
      <c r="M645" s="52">
        <v>376.08229999999998</v>
      </c>
      <c r="N645" s="5" t="s">
        <v>69</v>
      </c>
    </row>
    <row r="646" spans="1:14" x14ac:dyDescent="0.25">
      <c r="A646" s="51">
        <v>1.4350000000000001</v>
      </c>
      <c r="B646" s="52">
        <v>8185.3678</v>
      </c>
      <c r="C646" s="52">
        <v>741.10919999999999</v>
      </c>
      <c r="D646" s="52">
        <v>370.55459999999999</v>
      </c>
      <c r="E646" s="52">
        <v>370.55459999999999</v>
      </c>
      <c r="F646" s="52">
        <v>1482.2184</v>
      </c>
      <c r="G646" s="52">
        <v>741.10919999999999</v>
      </c>
      <c r="H646" s="52">
        <v>741.10919999999999</v>
      </c>
      <c r="I646" s="52">
        <v>1482.2184</v>
      </c>
      <c r="J646" s="52">
        <v>376.08229999999998</v>
      </c>
      <c r="K646" s="52">
        <v>1128.2470000000001</v>
      </c>
      <c r="L646" s="52">
        <v>376.08229999999998</v>
      </c>
      <c r="M646" s="52">
        <v>376.08229999999998</v>
      </c>
      <c r="N646" s="5" t="s">
        <v>69</v>
      </c>
    </row>
    <row r="647" spans="1:14" x14ac:dyDescent="0.25">
      <c r="A647" s="51">
        <v>1.4359999999999999</v>
      </c>
      <c r="B647" s="52">
        <v>8189.4993999999997</v>
      </c>
      <c r="C647" s="52">
        <v>741.62570000000005</v>
      </c>
      <c r="D647" s="52">
        <v>370.81279999999998</v>
      </c>
      <c r="E647" s="52">
        <v>370.81279999999998</v>
      </c>
      <c r="F647" s="52">
        <v>1483.2514000000001</v>
      </c>
      <c r="G647" s="52">
        <v>741.62570000000005</v>
      </c>
      <c r="H647" s="52">
        <v>741.62570000000005</v>
      </c>
      <c r="I647" s="52">
        <v>1483.2514000000001</v>
      </c>
      <c r="J647" s="52">
        <v>376.08229999999998</v>
      </c>
      <c r="K647" s="52">
        <v>1128.2470000000001</v>
      </c>
      <c r="L647" s="52">
        <v>376.08229999999998</v>
      </c>
      <c r="M647" s="52">
        <v>376.08229999999998</v>
      </c>
      <c r="N647" s="5" t="s">
        <v>69</v>
      </c>
    </row>
    <row r="648" spans="1:14" x14ac:dyDescent="0.25">
      <c r="A648" s="51">
        <v>1.4370000000000001</v>
      </c>
      <c r="B648" s="52">
        <v>8193.6309999999994</v>
      </c>
      <c r="C648" s="52">
        <v>742.14210000000003</v>
      </c>
      <c r="D648" s="52">
        <v>371.0711</v>
      </c>
      <c r="E648" s="52">
        <v>371.0711</v>
      </c>
      <c r="F648" s="52">
        <v>1484.2843</v>
      </c>
      <c r="G648" s="52">
        <v>742.14210000000003</v>
      </c>
      <c r="H648" s="52">
        <v>742.14210000000003</v>
      </c>
      <c r="I648" s="52">
        <v>1484.2843</v>
      </c>
      <c r="J648" s="52">
        <v>376.08229999999998</v>
      </c>
      <c r="K648" s="52">
        <v>1128.2470000000001</v>
      </c>
      <c r="L648" s="52">
        <v>376.08229999999998</v>
      </c>
      <c r="M648" s="52">
        <v>376.08229999999998</v>
      </c>
      <c r="N648" s="5" t="s">
        <v>69</v>
      </c>
    </row>
    <row r="649" spans="1:14" x14ac:dyDescent="0.25">
      <c r="A649" s="51">
        <v>1.4379999999999999</v>
      </c>
      <c r="B649" s="52">
        <v>8197.7626</v>
      </c>
      <c r="C649" s="52">
        <v>742.65859999999998</v>
      </c>
      <c r="D649" s="52">
        <v>371.32929999999999</v>
      </c>
      <c r="E649" s="52">
        <v>371.32929999999999</v>
      </c>
      <c r="F649" s="52">
        <v>1485.3172</v>
      </c>
      <c r="G649" s="52">
        <v>742.65859999999998</v>
      </c>
      <c r="H649" s="52">
        <v>742.65859999999998</v>
      </c>
      <c r="I649" s="52">
        <v>1485.3172</v>
      </c>
      <c r="J649" s="52">
        <v>376.08229999999998</v>
      </c>
      <c r="K649" s="52">
        <v>1128.2470000000001</v>
      </c>
      <c r="L649" s="52">
        <v>376.08229999999998</v>
      </c>
      <c r="M649" s="52">
        <v>376.08229999999998</v>
      </c>
      <c r="N649" s="5" t="s">
        <v>69</v>
      </c>
    </row>
    <row r="650" spans="1:14" x14ac:dyDescent="0.25">
      <c r="A650" s="51">
        <v>1.4390000000000001</v>
      </c>
      <c r="B650" s="52">
        <v>8201.8942999999999</v>
      </c>
      <c r="C650" s="52">
        <v>743.17499999999995</v>
      </c>
      <c r="D650" s="52">
        <v>371.58749999999998</v>
      </c>
      <c r="E650" s="52">
        <v>371.58749999999998</v>
      </c>
      <c r="F650" s="52">
        <v>1486.3501000000001</v>
      </c>
      <c r="G650" s="52">
        <v>743.17499999999995</v>
      </c>
      <c r="H650" s="52">
        <v>743.17499999999995</v>
      </c>
      <c r="I650" s="52">
        <v>1486.3501000000001</v>
      </c>
      <c r="J650" s="52">
        <v>376.08229999999998</v>
      </c>
      <c r="K650" s="52">
        <v>1128.2470000000001</v>
      </c>
      <c r="L650" s="52">
        <v>376.08229999999998</v>
      </c>
      <c r="M650" s="52">
        <v>376.08229999999998</v>
      </c>
      <c r="N650" s="5" t="s">
        <v>69</v>
      </c>
    </row>
    <row r="651" spans="1:14" x14ac:dyDescent="0.25">
      <c r="A651" s="51">
        <v>1.44</v>
      </c>
      <c r="B651" s="52">
        <v>8206.0259000000005</v>
      </c>
      <c r="C651" s="52">
        <v>743.69150000000002</v>
      </c>
      <c r="D651" s="52">
        <v>371.84570000000002</v>
      </c>
      <c r="E651" s="52">
        <v>371.84570000000002</v>
      </c>
      <c r="F651" s="52">
        <v>1487.383</v>
      </c>
      <c r="G651" s="52">
        <v>743.69150000000002</v>
      </c>
      <c r="H651" s="52">
        <v>743.69150000000002</v>
      </c>
      <c r="I651" s="52">
        <v>1487.383</v>
      </c>
      <c r="J651" s="52">
        <v>376.08229999999998</v>
      </c>
      <c r="K651" s="52">
        <v>1128.2470000000001</v>
      </c>
      <c r="L651" s="52">
        <v>376.08229999999998</v>
      </c>
      <c r="M651" s="52">
        <v>376.08229999999998</v>
      </c>
      <c r="N651" s="5" t="s">
        <v>69</v>
      </c>
    </row>
    <row r="652" spans="1:14" x14ac:dyDescent="0.25">
      <c r="A652" s="51">
        <v>1.4410000000000001</v>
      </c>
      <c r="B652" s="52">
        <v>8210.1574999999993</v>
      </c>
      <c r="C652" s="52">
        <v>744.2079</v>
      </c>
      <c r="D652" s="52">
        <v>372.10399999999998</v>
      </c>
      <c r="E652" s="52">
        <v>372.10399999999998</v>
      </c>
      <c r="F652" s="52">
        <v>1488.4159</v>
      </c>
      <c r="G652" s="52">
        <v>744.2079</v>
      </c>
      <c r="H652" s="52">
        <v>744.2079</v>
      </c>
      <c r="I652" s="52">
        <v>1488.4159</v>
      </c>
      <c r="J652" s="52">
        <v>376.08229999999998</v>
      </c>
      <c r="K652" s="52">
        <v>1128.2470000000001</v>
      </c>
      <c r="L652" s="52">
        <v>376.08229999999998</v>
      </c>
      <c r="M652" s="52">
        <v>376.08229999999998</v>
      </c>
      <c r="N652" s="5" t="s">
        <v>69</v>
      </c>
    </row>
    <row r="653" spans="1:14" x14ac:dyDescent="0.25">
      <c r="A653" s="51">
        <v>1.4419999999999999</v>
      </c>
      <c r="B653" s="52">
        <v>8214.2891</v>
      </c>
      <c r="C653" s="52">
        <v>744.72439999999995</v>
      </c>
      <c r="D653" s="52">
        <v>372.36219999999997</v>
      </c>
      <c r="E653" s="52">
        <v>372.36219999999997</v>
      </c>
      <c r="F653" s="52">
        <v>1489.4487999999999</v>
      </c>
      <c r="G653" s="52">
        <v>744.72439999999995</v>
      </c>
      <c r="H653" s="52">
        <v>744.72439999999995</v>
      </c>
      <c r="I653" s="52">
        <v>1489.4487999999999</v>
      </c>
      <c r="J653" s="52">
        <v>376.08229999999998</v>
      </c>
      <c r="K653" s="52">
        <v>1128.2470000000001</v>
      </c>
      <c r="L653" s="52">
        <v>376.08229999999998</v>
      </c>
      <c r="M653" s="52">
        <v>376.08229999999998</v>
      </c>
      <c r="N653" s="5" t="s">
        <v>69</v>
      </c>
    </row>
    <row r="654" spans="1:14" x14ac:dyDescent="0.25">
      <c r="A654" s="51">
        <v>1.4430000000000001</v>
      </c>
      <c r="B654" s="52">
        <v>8218.4207000000006</v>
      </c>
      <c r="C654" s="52">
        <v>745.24080000000004</v>
      </c>
      <c r="D654" s="52">
        <v>372.62040000000002</v>
      </c>
      <c r="E654" s="52">
        <v>372.62040000000002</v>
      </c>
      <c r="F654" s="52">
        <v>1490.4817</v>
      </c>
      <c r="G654" s="52">
        <v>745.24080000000004</v>
      </c>
      <c r="H654" s="52">
        <v>745.24080000000004</v>
      </c>
      <c r="I654" s="52">
        <v>1490.4817</v>
      </c>
      <c r="J654" s="52">
        <v>376.08229999999998</v>
      </c>
      <c r="K654" s="52">
        <v>1128.2470000000001</v>
      </c>
      <c r="L654" s="52">
        <v>376.08229999999998</v>
      </c>
      <c r="M654" s="52">
        <v>376.08229999999998</v>
      </c>
      <c r="N654" s="5" t="s">
        <v>69</v>
      </c>
    </row>
    <row r="655" spans="1:14" x14ac:dyDescent="0.25">
      <c r="A655" s="51">
        <v>1.444</v>
      </c>
      <c r="B655" s="52">
        <v>8222.5524000000005</v>
      </c>
      <c r="C655" s="52">
        <v>745.75729999999999</v>
      </c>
      <c r="D655" s="52">
        <v>372.87860000000001</v>
      </c>
      <c r="E655" s="52">
        <v>372.87860000000001</v>
      </c>
      <c r="F655" s="52">
        <v>1491.5146</v>
      </c>
      <c r="G655" s="52">
        <v>745.75729999999999</v>
      </c>
      <c r="H655" s="52">
        <v>745.75729999999999</v>
      </c>
      <c r="I655" s="52">
        <v>1491.5146</v>
      </c>
      <c r="J655" s="52">
        <v>376.08229999999998</v>
      </c>
      <c r="K655" s="52">
        <v>1128.2470000000001</v>
      </c>
      <c r="L655" s="52">
        <v>376.08229999999998</v>
      </c>
      <c r="M655" s="52">
        <v>376.08229999999998</v>
      </c>
      <c r="N655" s="5" t="s">
        <v>69</v>
      </c>
    </row>
    <row r="656" spans="1:14" x14ac:dyDescent="0.25">
      <c r="A656" s="51">
        <v>1.4450000000000001</v>
      </c>
      <c r="B656" s="52">
        <v>8226.6839999999993</v>
      </c>
      <c r="C656" s="52">
        <v>746.27369999999996</v>
      </c>
      <c r="D656" s="52">
        <v>373.13690000000003</v>
      </c>
      <c r="E656" s="52">
        <v>373.13690000000003</v>
      </c>
      <c r="F656" s="52">
        <v>1492.5474999999999</v>
      </c>
      <c r="G656" s="52">
        <v>746.27369999999996</v>
      </c>
      <c r="H656" s="52">
        <v>746.27369999999996</v>
      </c>
      <c r="I656" s="52">
        <v>1492.5474999999999</v>
      </c>
      <c r="J656" s="52">
        <v>376.08229999999998</v>
      </c>
      <c r="K656" s="52">
        <v>1128.2470000000001</v>
      </c>
      <c r="L656" s="52">
        <v>376.08229999999998</v>
      </c>
      <c r="M656" s="52">
        <v>376.08229999999998</v>
      </c>
      <c r="N656" s="5" t="s">
        <v>69</v>
      </c>
    </row>
    <row r="657" spans="1:14" x14ac:dyDescent="0.25">
      <c r="A657" s="51">
        <v>1.446</v>
      </c>
      <c r="B657" s="52">
        <v>8230.8155999999999</v>
      </c>
      <c r="C657" s="52">
        <v>746.79020000000003</v>
      </c>
      <c r="D657" s="52">
        <v>373.39510000000001</v>
      </c>
      <c r="E657" s="52">
        <v>373.39510000000001</v>
      </c>
      <c r="F657" s="52">
        <v>1493.5804000000001</v>
      </c>
      <c r="G657" s="52">
        <v>746.79020000000003</v>
      </c>
      <c r="H657" s="52">
        <v>746.79020000000003</v>
      </c>
      <c r="I657" s="52">
        <v>1493.5804000000001</v>
      </c>
      <c r="J657" s="52">
        <v>376.08229999999998</v>
      </c>
      <c r="K657" s="52">
        <v>1128.2470000000001</v>
      </c>
      <c r="L657" s="52">
        <v>376.08229999999998</v>
      </c>
      <c r="M657" s="52">
        <v>376.08229999999998</v>
      </c>
      <c r="N657" s="5" t="s">
        <v>69</v>
      </c>
    </row>
    <row r="658" spans="1:14" x14ac:dyDescent="0.25">
      <c r="A658" s="51">
        <v>1.4470000000000001</v>
      </c>
      <c r="B658" s="52">
        <v>8234.9472000000005</v>
      </c>
      <c r="C658" s="52">
        <v>747.30669999999998</v>
      </c>
      <c r="D658" s="52">
        <v>373.6533</v>
      </c>
      <c r="E658" s="52">
        <v>373.6533</v>
      </c>
      <c r="F658" s="52">
        <v>1494.6133</v>
      </c>
      <c r="G658" s="52">
        <v>747.30669999999998</v>
      </c>
      <c r="H658" s="52">
        <v>747.30669999999998</v>
      </c>
      <c r="I658" s="52">
        <v>1494.6133</v>
      </c>
      <c r="J658" s="52">
        <v>376.08229999999998</v>
      </c>
      <c r="K658" s="52">
        <v>1128.2470000000001</v>
      </c>
      <c r="L658" s="52">
        <v>376.08229999999998</v>
      </c>
      <c r="M658" s="52">
        <v>376.08229999999998</v>
      </c>
      <c r="N658" s="5" t="s">
        <v>69</v>
      </c>
    </row>
    <row r="659" spans="1:14" x14ac:dyDescent="0.25">
      <c r="A659" s="51">
        <v>1.448</v>
      </c>
      <c r="B659" s="52">
        <v>8239.0787999999993</v>
      </c>
      <c r="C659" s="52">
        <v>747.82309999999995</v>
      </c>
      <c r="D659" s="52">
        <v>373.91160000000002</v>
      </c>
      <c r="E659" s="52">
        <v>373.91160000000002</v>
      </c>
      <c r="F659" s="52">
        <v>1495.6461999999999</v>
      </c>
      <c r="G659" s="52">
        <v>747.82309999999995</v>
      </c>
      <c r="H659" s="52">
        <v>747.82309999999995</v>
      </c>
      <c r="I659" s="52">
        <v>1495.6461999999999</v>
      </c>
      <c r="J659" s="52">
        <v>376.08229999999998</v>
      </c>
      <c r="K659" s="52">
        <v>1128.2470000000001</v>
      </c>
      <c r="L659" s="52">
        <v>376.08229999999998</v>
      </c>
      <c r="M659" s="52">
        <v>376.08229999999998</v>
      </c>
      <c r="N659" s="5" t="s">
        <v>69</v>
      </c>
    </row>
    <row r="660" spans="1:14" x14ac:dyDescent="0.25">
      <c r="A660" s="51">
        <v>1.4490000000000001</v>
      </c>
      <c r="B660" s="52">
        <v>8243.2104999999992</v>
      </c>
      <c r="C660" s="52">
        <v>748.33960000000002</v>
      </c>
      <c r="D660" s="52">
        <v>374.16980000000001</v>
      </c>
      <c r="E660" s="52">
        <v>374.16980000000001</v>
      </c>
      <c r="F660" s="52">
        <v>1496.6791000000001</v>
      </c>
      <c r="G660" s="52">
        <v>748.33960000000002</v>
      </c>
      <c r="H660" s="52">
        <v>748.33960000000002</v>
      </c>
      <c r="I660" s="52">
        <v>1496.6791000000001</v>
      </c>
      <c r="J660" s="52">
        <v>376.08229999999998</v>
      </c>
      <c r="K660" s="52">
        <v>1128.2470000000001</v>
      </c>
      <c r="L660" s="52">
        <v>376.08229999999998</v>
      </c>
      <c r="M660" s="52">
        <v>376.08229999999998</v>
      </c>
      <c r="N660" s="5" t="s">
        <v>69</v>
      </c>
    </row>
    <row r="661" spans="1:14" x14ac:dyDescent="0.25">
      <c r="A661" s="51">
        <v>1.45</v>
      </c>
      <c r="B661" s="52">
        <v>8247.3420999999998</v>
      </c>
      <c r="C661" s="52">
        <v>748.85599999999999</v>
      </c>
      <c r="D661" s="52">
        <v>374.428</v>
      </c>
      <c r="E661" s="52">
        <v>374.428</v>
      </c>
      <c r="F661" s="52">
        <v>1497.712</v>
      </c>
      <c r="G661" s="52">
        <v>748.85599999999999</v>
      </c>
      <c r="H661" s="52">
        <v>748.85599999999999</v>
      </c>
      <c r="I661" s="52">
        <v>1497.712</v>
      </c>
      <c r="J661" s="52">
        <v>376.08229999999998</v>
      </c>
      <c r="K661" s="52">
        <v>1128.2470000000001</v>
      </c>
      <c r="L661" s="52">
        <v>376.08229999999998</v>
      </c>
      <c r="M661" s="52">
        <v>376.08229999999998</v>
      </c>
      <c r="N661" s="5" t="s">
        <v>69</v>
      </c>
    </row>
    <row r="662" spans="1:14" x14ac:dyDescent="0.25">
      <c r="A662" s="51">
        <v>1.4510000000000001</v>
      </c>
      <c r="B662" s="52">
        <v>8251.4737000000005</v>
      </c>
      <c r="C662" s="52">
        <v>749.37249999999995</v>
      </c>
      <c r="D662" s="52">
        <v>374.68619999999999</v>
      </c>
      <c r="E662" s="52">
        <v>374.68619999999999</v>
      </c>
      <c r="F662" s="52">
        <v>1498.7448999999999</v>
      </c>
      <c r="G662" s="52">
        <v>749.37249999999995</v>
      </c>
      <c r="H662" s="52">
        <v>749.37249999999995</v>
      </c>
      <c r="I662" s="52">
        <v>1498.7448999999999</v>
      </c>
      <c r="J662" s="52">
        <v>376.08229999999998</v>
      </c>
      <c r="K662" s="52">
        <v>1128.2470000000001</v>
      </c>
      <c r="L662" s="52">
        <v>376.08229999999998</v>
      </c>
      <c r="M662" s="52">
        <v>376.08229999999998</v>
      </c>
      <c r="N662" s="5" t="s">
        <v>69</v>
      </c>
    </row>
    <row r="663" spans="1:14" x14ac:dyDescent="0.25">
      <c r="A663" s="51">
        <v>1.452</v>
      </c>
      <c r="B663" s="52">
        <v>8255.6052999999993</v>
      </c>
      <c r="C663" s="52">
        <v>749.88890000000004</v>
      </c>
      <c r="D663" s="52">
        <v>374.94450000000001</v>
      </c>
      <c r="E663" s="52">
        <v>374.94450000000001</v>
      </c>
      <c r="F663" s="52">
        <v>1499.7778000000001</v>
      </c>
      <c r="G663" s="52">
        <v>749.88890000000004</v>
      </c>
      <c r="H663" s="52">
        <v>749.88890000000004</v>
      </c>
      <c r="I663" s="52">
        <v>1499.7778000000001</v>
      </c>
      <c r="J663" s="52">
        <v>376.08229999999998</v>
      </c>
      <c r="K663" s="52">
        <v>1128.2470000000001</v>
      </c>
      <c r="L663" s="52">
        <v>376.08229999999998</v>
      </c>
      <c r="M663" s="52">
        <v>376.08229999999998</v>
      </c>
      <c r="N663" s="5" t="s">
        <v>69</v>
      </c>
    </row>
    <row r="664" spans="1:14" x14ac:dyDescent="0.25">
      <c r="A664" s="51">
        <v>1.4530000000000001</v>
      </c>
      <c r="B664" s="52">
        <v>8259.7368999999999</v>
      </c>
      <c r="C664" s="52">
        <v>750.40539999999999</v>
      </c>
      <c r="D664" s="52">
        <v>375.20269999999999</v>
      </c>
      <c r="E664" s="52">
        <v>375.20269999999999</v>
      </c>
      <c r="F664" s="52">
        <v>1500.8107</v>
      </c>
      <c r="G664" s="52">
        <v>750.40539999999999</v>
      </c>
      <c r="H664" s="52">
        <v>750.40539999999999</v>
      </c>
      <c r="I664" s="52">
        <v>1500.8107</v>
      </c>
      <c r="J664" s="52">
        <v>376.08229999999998</v>
      </c>
      <c r="K664" s="52">
        <v>1128.2470000000001</v>
      </c>
      <c r="L664" s="52">
        <v>376.08229999999998</v>
      </c>
      <c r="M664" s="52">
        <v>376.08229999999998</v>
      </c>
      <c r="N664" s="5" t="s">
        <v>69</v>
      </c>
    </row>
    <row r="665" spans="1:14" x14ac:dyDescent="0.25">
      <c r="A665" s="51">
        <v>1.454</v>
      </c>
      <c r="B665" s="52">
        <v>8263.8685999999998</v>
      </c>
      <c r="C665" s="52">
        <v>750.92179999999996</v>
      </c>
      <c r="D665" s="52">
        <v>375.46089999999998</v>
      </c>
      <c r="E665" s="52">
        <v>375.46089999999998</v>
      </c>
      <c r="F665" s="52">
        <v>1501.8435999999999</v>
      </c>
      <c r="G665" s="52">
        <v>750.92179999999996</v>
      </c>
      <c r="H665" s="52">
        <v>750.92179999999996</v>
      </c>
      <c r="I665" s="52">
        <v>1501.8435999999999</v>
      </c>
      <c r="J665" s="52">
        <v>376.08229999999998</v>
      </c>
      <c r="K665" s="52">
        <v>1128.2470000000001</v>
      </c>
      <c r="L665" s="52">
        <v>376.08229999999998</v>
      </c>
      <c r="M665" s="52">
        <v>376.08229999999998</v>
      </c>
      <c r="N665" s="5" t="s">
        <v>69</v>
      </c>
    </row>
    <row r="666" spans="1:14" x14ac:dyDescent="0.25">
      <c r="A666" s="51">
        <v>1.4550000000000001</v>
      </c>
      <c r="B666" s="52">
        <v>8268.0002000000004</v>
      </c>
      <c r="C666" s="52">
        <v>751.43830000000003</v>
      </c>
      <c r="D666" s="52">
        <v>375.71910000000003</v>
      </c>
      <c r="E666" s="52">
        <v>375.71910000000003</v>
      </c>
      <c r="F666" s="52">
        <v>1502.8765000000001</v>
      </c>
      <c r="G666" s="52">
        <v>751.43830000000003</v>
      </c>
      <c r="H666" s="52">
        <v>751.43830000000003</v>
      </c>
      <c r="I666" s="52">
        <v>1502.8765000000001</v>
      </c>
      <c r="J666" s="52">
        <v>376.08229999999998</v>
      </c>
      <c r="K666" s="52">
        <v>1128.2470000000001</v>
      </c>
      <c r="L666" s="52">
        <v>376.08229999999998</v>
      </c>
      <c r="M666" s="52">
        <v>376.08229999999998</v>
      </c>
      <c r="N666" s="5" t="s">
        <v>69</v>
      </c>
    </row>
    <row r="667" spans="1:14" x14ac:dyDescent="0.25">
      <c r="A667" s="51">
        <v>1.456</v>
      </c>
      <c r="B667" s="52">
        <v>8272.1317999999992</v>
      </c>
      <c r="C667" s="52">
        <v>751.9547</v>
      </c>
      <c r="D667" s="52">
        <v>375.97739999999999</v>
      </c>
      <c r="E667" s="52">
        <v>375.97739999999999</v>
      </c>
      <c r="F667" s="52">
        <v>1503.9095</v>
      </c>
      <c r="G667" s="52">
        <v>751.9547</v>
      </c>
      <c r="H667" s="52">
        <v>751.9547</v>
      </c>
      <c r="I667" s="52">
        <v>1503.9095</v>
      </c>
      <c r="J667" s="52">
        <v>376.08229999999998</v>
      </c>
      <c r="K667" s="52">
        <v>1128.2470000000001</v>
      </c>
      <c r="L667" s="52">
        <v>376.08229999999998</v>
      </c>
      <c r="M667" s="52">
        <v>376.08229999999998</v>
      </c>
      <c r="N667" s="5" t="s">
        <v>69</v>
      </c>
    </row>
    <row r="668" spans="1:14" x14ac:dyDescent="0.25">
      <c r="A668" s="51">
        <v>1.4570000000000001</v>
      </c>
      <c r="B668" s="52">
        <v>8276.2633999999998</v>
      </c>
      <c r="C668" s="52">
        <v>752.47119999999995</v>
      </c>
      <c r="D668" s="52">
        <v>376.23559999999998</v>
      </c>
      <c r="E668" s="52">
        <v>376.23559999999998</v>
      </c>
      <c r="F668" s="52">
        <v>1504.9423999999999</v>
      </c>
      <c r="G668" s="52">
        <v>752.47119999999995</v>
      </c>
      <c r="H668" s="52">
        <v>752.47119999999995</v>
      </c>
      <c r="I668" s="52">
        <v>1504.9423999999999</v>
      </c>
      <c r="J668" s="52">
        <v>376.08229999999998</v>
      </c>
      <c r="K668" s="52">
        <v>1128.2470000000001</v>
      </c>
      <c r="L668" s="52">
        <v>376.08229999999998</v>
      </c>
      <c r="M668" s="52">
        <v>376.08229999999998</v>
      </c>
      <c r="N668" s="5" t="s">
        <v>69</v>
      </c>
    </row>
    <row r="669" spans="1:14" x14ac:dyDescent="0.25">
      <c r="A669" s="51">
        <v>1.458</v>
      </c>
      <c r="B669" s="52">
        <v>8280.3950000000004</v>
      </c>
      <c r="C669" s="52">
        <v>752.98760000000004</v>
      </c>
      <c r="D669" s="52">
        <v>376.49380000000002</v>
      </c>
      <c r="E669" s="52">
        <v>376.49380000000002</v>
      </c>
      <c r="F669" s="52">
        <v>1505.9753000000001</v>
      </c>
      <c r="G669" s="52">
        <v>752.98760000000004</v>
      </c>
      <c r="H669" s="52">
        <v>752.98760000000004</v>
      </c>
      <c r="I669" s="52">
        <v>1505.9753000000001</v>
      </c>
      <c r="J669" s="52">
        <v>376.08229999999998</v>
      </c>
      <c r="K669" s="52">
        <v>1128.2470000000001</v>
      </c>
      <c r="L669" s="52">
        <v>376.08229999999998</v>
      </c>
      <c r="M669" s="52">
        <v>376.08229999999998</v>
      </c>
      <c r="N669" s="5" t="s">
        <v>69</v>
      </c>
    </row>
    <row r="670" spans="1:14" x14ac:dyDescent="0.25">
      <c r="A670" s="51">
        <v>1.4590000000000001</v>
      </c>
      <c r="B670" s="52">
        <v>8284.5267000000003</v>
      </c>
      <c r="C670" s="52">
        <v>753.50409999999999</v>
      </c>
      <c r="D670" s="52">
        <v>376.75200000000001</v>
      </c>
      <c r="E670" s="52">
        <v>376.75200000000001</v>
      </c>
      <c r="F670" s="52">
        <v>1507.0082</v>
      </c>
      <c r="G670" s="52">
        <v>753.50409999999999</v>
      </c>
      <c r="H670" s="52">
        <v>753.50409999999999</v>
      </c>
      <c r="I670" s="52">
        <v>1507.0082</v>
      </c>
      <c r="J670" s="52">
        <v>376.08229999999998</v>
      </c>
      <c r="K670" s="52">
        <v>1128.2470000000001</v>
      </c>
      <c r="L670" s="52">
        <v>376.08229999999998</v>
      </c>
      <c r="M670" s="52">
        <v>376.08229999999998</v>
      </c>
      <c r="N670" s="5" t="s">
        <v>69</v>
      </c>
    </row>
    <row r="671" spans="1:14" x14ac:dyDescent="0.25">
      <c r="A671" s="51">
        <v>1.46</v>
      </c>
      <c r="B671" s="52">
        <v>8288.6582999999991</v>
      </c>
      <c r="C671" s="52">
        <v>754.02049999999997</v>
      </c>
      <c r="D671" s="52">
        <v>377.01029999999997</v>
      </c>
      <c r="E671" s="52">
        <v>377.01029999999997</v>
      </c>
      <c r="F671" s="52">
        <v>1508.0410999999999</v>
      </c>
      <c r="G671" s="52">
        <v>754.02049999999997</v>
      </c>
      <c r="H671" s="52">
        <v>754.02049999999997</v>
      </c>
      <c r="I671" s="52">
        <v>1508.0410999999999</v>
      </c>
      <c r="J671" s="52">
        <v>376.08229999999998</v>
      </c>
      <c r="K671" s="52">
        <v>1128.2470000000001</v>
      </c>
      <c r="L671" s="52">
        <v>376.08229999999998</v>
      </c>
      <c r="M671" s="52">
        <v>376.08229999999998</v>
      </c>
      <c r="N671" s="5" t="s">
        <v>69</v>
      </c>
    </row>
    <row r="672" spans="1:14" x14ac:dyDescent="0.25">
      <c r="A672" s="51">
        <v>1.4610000000000001</v>
      </c>
      <c r="B672" s="52">
        <v>8292.7898999999998</v>
      </c>
      <c r="C672" s="52">
        <v>754.53700000000003</v>
      </c>
      <c r="D672" s="52">
        <v>377.26850000000002</v>
      </c>
      <c r="E672" s="52">
        <v>377.26850000000002</v>
      </c>
      <c r="F672" s="52">
        <v>1509.0740000000001</v>
      </c>
      <c r="G672" s="52">
        <v>754.53700000000003</v>
      </c>
      <c r="H672" s="52">
        <v>754.53700000000003</v>
      </c>
      <c r="I672" s="52">
        <v>1509.0740000000001</v>
      </c>
      <c r="J672" s="52">
        <v>376.08229999999998</v>
      </c>
      <c r="K672" s="52">
        <v>1128.2470000000001</v>
      </c>
      <c r="L672" s="52">
        <v>376.08229999999998</v>
      </c>
      <c r="M672" s="52">
        <v>376.08229999999998</v>
      </c>
      <c r="N672" s="5" t="s">
        <v>69</v>
      </c>
    </row>
    <row r="673" spans="1:14" x14ac:dyDescent="0.25">
      <c r="A673" s="51">
        <v>1.462</v>
      </c>
      <c r="B673" s="52">
        <v>8296.9215000000004</v>
      </c>
      <c r="C673" s="52">
        <v>755.05340000000001</v>
      </c>
      <c r="D673" s="52">
        <v>377.52670000000001</v>
      </c>
      <c r="E673" s="52">
        <v>377.52670000000001</v>
      </c>
      <c r="F673" s="52">
        <v>1510.1069</v>
      </c>
      <c r="G673" s="52">
        <v>755.05340000000001</v>
      </c>
      <c r="H673" s="52">
        <v>755.05340000000001</v>
      </c>
      <c r="I673" s="52">
        <v>1510.1069</v>
      </c>
      <c r="J673" s="52">
        <v>376.08229999999998</v>
      </c>
      <c r="K673" s="52">
        <v>1128.2470000000001</v>
      </c>
      <c r="L673" s="52">
        <v>376.08229999999998</v>
      </c>
      <c r="M673" s="52">
        <v>376.08229999999998</v>
      </c>
      <c r="N673" s="5" t="s">
        <v>69</v>
      </c>
    </row>
    <row r="674" spans="1:14" x14ac:dyDescent="0.25">
      <c r="A674" s="51">
        <v>1.4630000000000001</v>
      </c>
      <c r="B674" s="52">
        <v>8301.0530999999992</v>
      </c>
      <c r="C674" s="52">
        <v>755.56989999999996</v>
      </c>
      <c r="D674" s="52">
        <v>377.78489999999999</v>
      </c>
      <c r="E674" s="52">
        <v>377.78489999999999</v>
      </c>
      <c r="F674" s="52">
        <v>1511.1397999999999</v>
      </c>
      <c r="G674" s="52">
        <v>755.56989999999996</v>
      </c>
      <c r="H674" s="52">
        <v>755.56989999999996</v>
      </c>
      <c r="I674" s="52">
        <v>1511.1397999999999</v>
      </c>
      <c r="J674" s="52">
        <v>376.08229999999998</v>
      </c>
      <c r="K674" s="52">
        <v>1128.2470000000001</v>
      </c>
      <c r="L674" s="52">
        <v>376.08229999999998</v>
      </c>
      <c r="M674" s="52">
        <v>376.08229999999998</v>
      </c>
      <c r="N674" s="5" t="s">
        <v>69</v>
      </c>
    </row>
    <row r="675" spans="1:14" x14ac:dyDescent="0.25">
      <c r="A675" s="51">
        <v>1.464</v>
      </c>
      <c r="B675" s="52">
        <v>8305.1848000000009</v>
      </c>
      <c r="C675" s="52">
        <v>756.08630000000005</v>
      </c>
      <c r="D675" s="52">
        <v>378.04320000000001</v>
      </c>
      <c r="E675" s="52">
        <v>378.04320000000001</v>
      </c>
      <c r="F675" s="52">
        <v>1512.1727000000001</v>
      </c>
      <c r="G675" s="52">
        <v>756.08630000000005</v>
      </c>
      <c r="H675" s="52">
        <v>756.08630000000005</v>
      </c>
      <c r="I675" s="52">
        <v>1512.1727000000001</v>
      </c>
      <c r="J675" s="52">
        <v>376.08229999999998</v>
      </c>
      <c r="K675" s="52">
        <v>1128.2470000000001</v>
      </c>
      <c r="L675" s="52">
        <v>376.08229999999998</v>
      </c>
      <c r="M675" s="52">
        <v>376.08229999999998</v>
      </c>
      <c r="N675" s="5" t="s">
        <v>69</v>
      </c>
    </row>
    <row r="676" spans="1:14" x14ac:dyDescent="0.25">
      <c r="A676" s="51">
        <v>1.4650000000000001</v>
      </c>
      <c r="B676" s="52">
        <v>8309.3163999999997</v>
      </c>
      <c r="C676" s="52">
        <v>756.6028</v>
      </c>
      <c r="D676" s="52">
        <v>378.3014</v>
      </c>
      <c r="E676" s="52">
        <v>378.3014</v>
      </c>
      <c r="F676" s="52">
        <v>1513.2056</v>
      </c>
      <c r="G676" s="52">
        <v>756.6028</v>
      </c>
      <c r="H676" s="52">
        <v>756.6028</v>
      </c>
      <c r="I676" s="52">
        <v>1513.2056</v>
      </c>
      <c r="J676" s="52">
        <v>376.08229999999998</v>
      </c>
      <c r="K676" s="52">
        <v>1128.2470000000001</v>
      </c>
      <c r="L676" s="52">
        <v>376.08229999999998</v>
      </c>
      <c r="M676" s="52">
        <v>376.08229999999998</v>
      </c>
      <c r="N676" s="5" t="s">
        <v>69</v>
      </c>
    </row>
    <row r="677" spans="1:14" x14ac:dyDescent="0.25">
      <c r="A677" s="51">
        <v>1.466</v>
      </c>
      <c r="B677" s="52">
        <v>8313.4480000000003</v>
      </c>
      <c r="C677" s="52">
        <v>757.11919999999998</v>
      </c>
      <c r="D677" s="52">
        <v>378.55959999999999</v>
      </c>
      <c r="E677" s="52">
        <v>378.55959999999999</v>
      </c>
      <c r="F677" s="52">
        <v>1514.2384999999999</v>
      </c>
      <c r="G677" s="52">
        <v>757.11919999999998</v>
      </c>
      <c r="H677" s="52">
        <v>757.11919999999998</v>
      </c>
      <c r="I677" s="52">
        <v>1514.2384999999999</v>
      </c>
      <c r="J677" s="52">
        <v>376.08229999999998</v>
      </c>
      <c r="K677" s="52">
        <v>1128.2470000000001</v>
      </c>
      <c r="L677" s="52">
        <v>376.08229999999998</v>
      </c>
      <c r="M677" s="52">
        <v>376.08229999999998</v>
      </c>
      <c r="N677" s="5" t="s">
        <v>69</v>
      </c>
    </row>
    <row r="678" spans="1:14" x14ac:dyDescent="0.25">
      <c r="A678" s="51">
        <v>1.4670000000000001</v>
      </c>
      <c r="B678" s="52">
        <v>8317.5795999999991</v>
      </c>
      <c r="C678" s="52">
        <v>757.63570000000004</v>
      </c>
      <c r="D678" s="52">
        <v>378.81790000000001</v>
      </c>
      <c r="E678" s="52">
        <v>378.81790000000001</v>
      </c>
      <c r="F678" s="52">
        <v>1515.2714000000001</v>
      </c>
      <c r="G678" s="52">
        <v>757.63570000000004</v>
      </c>
      <c r="H678" s="52">
        <v>757.63570000000004</v>
      </c>
      <c r="I678" s="52">
        <v>1515.2714000000001</v>
      </c>
      <c r="J678" s="52">
        <v>376.08229999999998</v>
      </c>
      <c r="K678" s="52">
        <v>1128.2470000000001</v>
      </c>
      <c r="L678" s="52">
        <v>376.08229999999998</v>
      </c>
      <c r="M678" s="52">
        <v>376.08229999999998</v>
      </c>
      <c r="N678" s="5" t="s">
        <v>69</v>
      </c>
    </row>
    <row r="679" spans="1:14" x14ac:dyDescent="0.25">
      <c r="A679" s="51">
        <v>1.468</v>
      </c>
      <c r="B679" s="52">
        <v>8321.7111999999997</v>
      </c>
      <c r="C679" s="52">
        <v>758.15219999999999</v>
      </c>
      <c r="D679" s="52">
        <v>379.0761</v>
      </c>
      <c r="E679" s="52">
        <v>379.0761</v>
      </c>
      <c r="F679" s="52">
        <v>1516.3043</v>
      </c>
      <c r="G679" s="52">
        <v>758.15219999999999</v>
      </c>
      <c r="H679" s="52">
        <v>758.15219999999999</v>
      </c>
      <c r="I679" s="52">
        <v>1516.3043</v>
      </c>
      <c r="J679" s="52">
        <v>376.08229999999998</v>
      </c>
      <c r="K679" s="52">
        <v>1128.2470000000001</v>
      </c>
      <c r="L679" s="52">
        <v>376.08229999999998</v>
      </c>
      <c r="M679" s="52">
        <v>376.08229999999998</v>
      </c>
      <c r="N679" s="5" t="s">
        <v>69</v>
      </c>
    </row>
    <row r="680" spans="1:14" x14ac:dyDescent="0.25">
      <c r="A680" s="51">
        <v>1.4690000000000001</v>
      </c>
      <c r="B680" s="52">
        <v>8325.8428000000004</v>
      </c>
      <c r="C680" s="52">
        <v>758.66859999999997</v>
      </c>
      <c r="D680" s="52">
        <v>379.33429999999998</v>
      </c>
      <c r="E680" s="52">
        <v>379.33429999999998</v>
      </c>
      <c r="F680" s="52">
        <v>1517.3371999999999</v>
      </c>
      <c r="G680" s="52">
        <v>758.66859999999997</v>
      </c>
      <c r="H680" s="52">
        <v>758.66859999999997</v>
      </c>
      <c r="I680" s="52">
        <v>1517.3371999999999</v>
      </c>
      <c r="J680" s="52">
        <v>376.08229999999998</v>
      </c>
      <c r="K680" s="52">
        <v>1128.2470000000001</v>
      </c>
      <c r="L680" s="52">
        <v>376.08229999999998</v>
      </c>
      <c r="M680" s="52">
        <v>376.08229999999998</v>
      </c>
      <c r="N680" s="5" t="s">
        <v>69</v>
      </c>
    </row>
    <row r="681" spans="1:14" x14ac:dyDescent="0.25">
      <c r="A681" s="51">
        <v>1.47</v>
      </c>
      <c r="B681" s="52">
        <v>8329.9745000000003</v>
      </c>
      <c r="C681" s="52">
        <v>759.18510000000003</v>
      </c>
      <c r="D681" s="52">
        <v>379.59249999999997</v>
      </c>
      <c r="E681" s="52">
        <v>379.59249999999997</v>
      </c>
      <c r="F681" s="52">
        <v>1518.3701000000001</v>
      </c>
      <c r="G681" s="52">
        <v>759.18510000000003</v>
      </c>
      <c r="H681" s="52">
        <v>759.18510000000003</v>
      </c>
      <c r="I681" s="52">
        <v>1518.3701000000001</v>
      </c>
      <c r="J681" s="52">
        <v>376.08229999999998</v>
      </c>
      <c r="K681" s="52">
        <v>1128.2470000000001</v>
      </c>
      <c r="L681" s="52">
        <v>376.08229999999998</v>
      </c>
      <c r="M681" s="52">
        <v>376.08229999999998</v>
      </c>
      <c r="N681" s="5" t="s">
        <v>69</v>
      </c>
    </row>
    <row r="682" spans="1:14" x14ac:dyDescent="0.25">
      <c r="A682" s="51">
        <v>1.4710000000000001</v>
      </c>
      <c r="B682" s="52">
        <v>8334.1061000000009</v>
      </c>
      <c r="C682" s="52">
        <v>759.70150000000001</v>
      </c>
      <c r="D682" s="52">
        <v>379.85079999999999</v>
      </c>
      <c r="E682" s="52">
        <v>379.85079999999999</v>
      </c>
      <c r="F682" s="52">
        <v>1519.403</v>
      </c>
      <c r="G682" s="52">
        <v>759.70150000000001</v>
      </c>
      <c r="H682" s="52">
        <v>759.70150000000001</v>
      </c>
      <c r="I682" s="52">
        <v>1519.403</v>
      </c>
      <c r="J682" s="52">
        <v>376.08229999999998</v>
      </c>
      <c r="K682" s="52">
        <v>1128.2470000000001</v>
      </c>
      <c r="L682" s="52">
        <v>376.08229999999998</v>
      </c>
      <c r="M682" s="52">
        <v>376.08229999999998</v>
      </c>
      <c r="N682" s="5" t="s">
        <v>69</v>
      </c>
    </row>
    <row r="683" spans="1:14" x14ac:dyDescent="0.25">
      <c r="A683" s="51">
        <v>1.472</v>
      </c>
      <c r="B683" s="52">
        <v>8338.2376999999997</v>
      </c>
      <c r="C683" s="52">
        <v>760.21799999999996</v>
      </c>
      <c r="D683" s="52">
        <v>380.10899999999998</v>
      </c>
      <c r="E683" s="52">
        <v>380.10899999999998</v>
      </c>
      <c r="F683" s="52">
        <v>1520.4358999999999</v>
      </c>
      <c r="G683" s="52">
        <v>760.21799999999996</v>
      </c>
      <c r="H683" s="52">
        <v>760.21799999999996</v>
      </c>
      <c r="I683" s="52">
        <v>1520.4358999999999</v>
      </c>
      <c r="J683" s="52">
        <v>376.08229999999998</v>
      </c>
      <c r="K683" s="52">
        <v>1128.2470000000001</v>
      </c>
      <c r="L683" s="52">
        <v>376.08229999999998</v>
      </c>
      <c r="M683" s="52">
        <v>376.08229999999998</v>
      </c>
      <c r="N683" s="5" t="s">
        <v>69</v>
      </c>
    </row>
    <row r="684" spans="1:14" x14ac:dyDescent="0.25">
      <c r="A684" s="51">
        <v>1.4730000000000001</v>
      </c>
      <c r="B684" s="52">
        <v>8342.3693000000003</v>
      </c>
      <c r="C684" s="52">
        <v>760.73440000000005</v>
      </c>
      <c r="D684" s="52">
        <v>380.36720000000003</v>
      </c>
      <c r="E684" s="52">
        <v>380.36720000000003</v>
      </c>
      <c r="F684" s="52">
        <v>1521.4688000000001</v>
      </c>
      <c r="G684" s="52">
        <v>760.73440000000005</v>
      </c>
      <c r="H684" s="52">
        <v>760.73440000000005</v>
      </c>
      <c r="I684" s="52">
        <v>1521.4688000000001</v>
      </c>
      <c r="J684" s="52">
        <v>376.08229999999998</v>
      </c>
      <c r="K684" s="52">
        <v>1128.2470000000001</v>
      </c>
      <c r="L684" s="52">
        <v>376.08229999999998</v>
      </c>
      <c r="M684" s="52">
        <v>376.08229999999998</v>
      </c>
      <c r="N684" s="5" t="s">
        <v>69</v>
      </c>
    </row>
    <row r="685" spans="1:14" x14ac:dyDescent="0.25">
      <c r="A685" s="51">
        <v>1.474</v>
      </c>
      <c r="B685" s="52">
        <v>8346.5008999999991</v>
      </c>
      <c r="C685" s="52">
        <v>761.2509</v>
      </c>
      <c r="D685" s="52">
        <v>380.62540000000001</v>
      </c>
      <c r="E685" s="52">
        <v>380.62540000000001</v>
      </c>
      <c r="F685" s="52">
        <v>1522.5017</v>
      </c>
      <c r="G685" s="52">
        <v>761.2509</v>
      </c>
      <c r="H685" s="52">
        <v>761.2509</v>
      </c>
      <c r="I685" s="52">
        <v>1522.5017</v>
      </c>
      <c r="J685" s="52">
        <v>376.08229999999998</v>
      </c>
      <c r="K685" s="52">
        <v>1128.2470000000001</v>
      </c>
      <c r="L685" s="52">
        <v>376.08229999999998</v>
      </c>
      <c r="M685" s="52">
        <v>376.08229999999998</v>
      </c>
      <c r="N685" s="5" t="s">
        <v>69</v>
      </c>
    </row>
    <row r="686" spans="1:14" x14ac:dyDescent="0.25">
      <c r="A686" s="51">
        <v>1.4750000000000001</v>
      </c>
      <c r="B686" s="52">
        <v>8350.6326000000008</v>
      </c>
      <c r="C686" s="52">
        <v>761.76729999999998</v>
      </c>
      <c r="D686" s="52">
        <v>380.88369999999998</v>
      </c>
      <c r="E686" s="52">
        <v>380.88369999999998</v>
      </c>
      <c r="F686" s="52">
        <v>1523.5346</v>
      </c>
      <c r="G686" s="52">
        <v>761.76729999999998</v>
      </c>
      <c r="H686" s="52">
        <v>761.76729999999998</v>
      </c>
      <c r="I686" s="52">
        <v>1523.5346</v>
      </c>
      <c r="J686" s="52">
        <v>376.08229999999998</v>
      </c>
      <c r="K686" s="52">
        <v>1128.2470000000001</v>
      </c>
      <c r="L686" s="52">
        <v>376.08229999999998</v>
      </c>
      <c r="M686" s="52">
        <v>376.08229999999998</v>
      </c>
      <c r="N686" s="5" t="s">
        <v>69</v>
      </c>
    </row>
    <row r="687" spans="1:14" x14ac:dyDescent="0.25">
      <c r="A687" s="51">
        <v>1.476</v>
      </c>
      <c r="B687" s="52">
        <v>8354.7641999999996</v>
      </c>
      <c r="C687" s="52">
        <v>762.28380000000004</v>
      </c>
      <c r="D687" s="52">
        <v>381.14190000000002</v>
      </c>
      <c r="E687" s="52">
        <v>381.14190000000002</v>
      </c>
      <c r="F687" s="52">
        <v>1524.5675000000001</v>
      </c>
      <c r="G687" s="52">
        <v>762.28380000000004</v>
      </c>
      <c r="H687" s="52">
        <v>762.28380000000004</v>
      </c>
      <c r="I687" s="52">
        <v>1524.5675000000001</v>
      </c>
      <c r="J687" s="52">
        <v>376.08229999999998</v>
      </c>
      <c r="K687" s="52">
        <v>1128.2470000000001</v>
      </c>
      <c r="L687" s="52">
        <v>376.08229999999998</v>
      </c>
      <c r="M687" s="52">
        <v>376.08229999999998</v>
      </c>
      <c r="N687" s="5" t="s">
        <v>69</v>
      </c>
    </row>
    <row r="688" spans="1:14" x14ac:dyDescent="0.25">
      <c r="A688" s="51">
        <v>1.4770000000000001</v>
      </c>
      <c r="B688" s="52">
        <v>8358.8958000000002</v>
      </c>
      <c r="C688" s="52">
        <v>762.80020000000002</v>
      </c>
      <c r="D688" s="52">
        <v>381.40010000000001</v>
      </c>
      <c r="E688" s="52">
        <v>381.40010000000001</v>
      </c>
      <c r="F688" s="52">
        <v>1525.6005</v>
      </c>
      <c r="G688" s="52">
        <v>762.80020000000002</v>
      </c>
      <c r="H688" s="52">
        <v>762.80020000000002</v>
      </c>
      <c r="I688" s="52">
        <v>1525.6005</v>
      </c>
      <c r="J688" s="52">
        <v>376.08229999999998</v>
      </c>
      <c r="K688" s="52">
        <v>1128.2470000000001</v>
      </c>
      <c r="L688" s="52">
        <v>376.08229999999998</v>
      </c>
      <c r="M688" s="52">
        <v>376.08229999999998</v>
      </c>
      <c r="N688" s="5" t="s">
        <v>69</v>
      </c>
    </row>
    <row r="689" spans="1:14" x14ac:dyDescent="0.25">
      <c r="A689" s="51">
        <v>1.478</v>
      </c>
      <c r="B689" s="52">
        <v>8363.0274000000009</v>
      </c>
      <c r="C689" s="52">
        <v>763.31669999999997</v>
      </c>
      <c r="D689" s="52">
        <v>381.6583</v>
      </c>
      <c r="E689" s="52">
        <v>381.6583</v>
      </c>
      <c r="F689" s="52">
        <v>1526.6333999999999</v>
      </c>
      <c r="G689" s="52">
        <v>763.31669999999997</v>
      </c>
      <c r="H689" s="52">
        <v>763.31669999999997</v>
      </c>
      <c r="I689" s="52">
        <v>1526.6333999999999</v>
      </c>
      <c r="J689" s="52">
        <v>376.08229999999998</v>
      </c>
      <c r="K689" s="52">
        <v>1128.2470000000001</v>
      </c>
      <c r="L689" s="52">
        <v>376.08229999999998</v>
      </c>
      <c r="M689" s="52">
        <v>376.08229999999998</v>
      </c>
      <c r="N689" s="5" t="s">
        <v>69</v>
      </c>
    </row>
    <row r="690" spans="1:14" x14ac:dyDescent="0.25">
      <c r="A690" s="51">
        <v>1.4790000000000001</v>
      </c>
      <c r="B690" s="52">
        <v>8367.1589999999997</v>
      </c>
      <c r="C690" s="52">
        <v>763.83309999999994</v>
      </c>
      <c r="D690" s="52">
        <v>381.91660000000002</v>
      </c>
      <c r="E690" s="52">
        <v>381.91660000000002</v>
      </c>
      <c r="F690" s="52">
        <v>1527.6663000000001</v>
      </c>
      <c r="G690" s="52">
        <v>763.83309999999994</v>
      </c>
      <c r="H690" s="52">
        <v>763.83309999999994</v>
      </c>
      <c r="I690" s="52">
        <v>1527.6663000000001</v>
      </c>
      <c r="J690" s="52">
        <v>376.08229999999998</v>
      </c>
      <c r="K690" s="52">
        <v>1128.2470000000001</v>
      </c>
      <c r="L690" s="52">
        <v>376.08229999999998</v>
      </c>
      <c r="M690" s="52">
        <v>376.08229999999998</v>
      </c>
      <c r="N690" s="5" t="s">
        <v>69</v>
      </c>
    </row>
    <row r="691" spans="1:14" x14ac:dyDescent="0.25">
      <c r="A691" s="51">
        <v>1.48</v>
      </c>
      <c r="B691" s="52">
        <v>8371.2906999999996</v>
      </c>
      <c r="C691" s="52">
        <v>764.34960000000001</v>
      </c>
      <c r="D691" s="52">
        <v>382.1748</v>
      </c>
      <c r="E691" s="52">
        <v>382.1748</v>
      </c>
      <c r="F691" s="52">
        <v>1528.6992</v>
      </c>
      <c r="G691" s="52">
        <v>764.34960000000001</v>
      </c>
      <c r="H691" s="52">
        <v>764.34960000000001</v>
      </c>
      <c r="I691" s="52">
        <v>1528.6992</v>
      </c>
      <c r="J691" s="52">
        <v>376.08229999999998</v>
      </c>
      <c r="K691" s="52">
        <v>1128.2470000000001</v>
      </c>
      <c r="L691" s="52">
        <v>376.08229999999998</v>
      </c>
      <c r="M691" s="52">
        <v>376.08229999999998</v>
      </c>
      <c r="N691" s="5" t="s">
        <v>69</v>
      </c>
    </row>
    <row r="692" spans="1:14" x14ac:dyDescent="0.25">
      <c r="A692" s="51">
        <v>1.4810000000000001</v>
      </c>
      <c r="B692" s="52">
        <v>8375.4223000000002</v>
      </c>
      <c r="C692" s="52">
        <v>764.86599999999999</v>
      </c>
      <c r="D692" s="52">
        <v>382.43299999999999</v>
      </c>
      <c r="E692" s="52">
        <v>382.43299999999999</v>
      </c>
      <c r="F692" s="52">
        <v>1529.7320999999999</v>
      </c>
      <c r="G692" s="52">
        <v>764.86599999999999</v>
      </c>
      <c r="H692" s="52">
        <v>764.86599999999999</v>
      </c>
      <c r="I692" s="52">
        <v>1529.7320999999999</v>
      </c>
      <c r="J692" s="52">
        <v>376.08229999999998</v>
      </c>
      <c r="K692" s="52">
        <v>1128.2470000000001</v>
      </c>
      <c r="L692" s="52">
        <v>376.08229999999998</v>
      </c>
      <c r="M692" s="52">
        <v>376.08229999999998</v>
      </c>
      <c r="N692" s="5" t="s">
        <v>69</v>
      </c>
    </row>
    <row r="693" spans="1:14" x14ac:dyDescent="0.25">
      <c r="A693" s="51">
        <v>1.482</v>
      </c>
      <c r="B693" s="52">
        <v>8379.5539000000008</v>
      </c>
      <c r="C693" s="52">
        <v>765.38250000000005</v>
      </c>
      <c r="D693" s="52">
        <v>382.69119999999998</v>
      </c>
      <c r="E693" s="52">
        <v>382.69119999999998</v>
      </c>
      <c r="F693" s="52">
        <v>1530.7650000000001</v>
      </c>
      <c r="G693" s="52">
        <v>765.38250000000005</v>
      </c>
      <c r="H693" s="52">
        <v>765.38250000000005</v>
      </c>
      <c r="I693" s="52">
        <v>1530.7650000000001</v>
      </c>
      <c r="J693" s="52">
        <v>376.08229999999998</v>
      </c>
      <c r="K693" s="52">
        <v>1128.2470000000001</v>
      </c>
      <c r="L693" s="52">
        <v>376.08229999999998</v>
      </c>
      <c r="M693" s="52">
        <v>376.08229999999998</v>
      </c>
      <c r="N693" s="5" t="s">
        <v>69</v>
      </c>
    </row>
    <row r="694" spans="1:14" x14ac:dyDescent="0.25">
      <c r="A694" s="51">
        <v>1.4830000000000001</v>
      </c>
      <c r="B694" s="52">
        <v>8383.6854999999996</v>
      </c>
      <c r="C694" s="52">
        <v>765.89890000000003</v>
      </c>
      <c r="D694" s="52">
        <v>382.9495</v>
      </c>
      <c r="E694" s="52">
        <v>382.9495</v>
      </c>
      <c r="F694" s="52">
        <v>1531.7979</v>
      </c>
      <c r="G694" s="52">
        <v>765.89890000000003</v>
      </c>
      <c r="H694" s="52">
        <v>765.89890000000003</v>
      </c>
      <c r="I694" s="52">
        <v>1531.7979</v>
      </c>
      <c r="J694" s="52">
        <v>376.08229999999998</v>
      </c>
      <c r="K694" s="52">
        <v>1128.2470000000001</v>
      </c>
      <c r="L694" s="52">
        <v>376.08229999999998</v>
      </c>
      <c r="M694" s="52">
        <v>376.08229999999998</v>
      </c>
      <c r="N694" s="5" t="s">
        <v>69</v>
      </c>
    </row>
    <row r="695" spans="1:14" x14ac:dyDescent="0.25">
      <c r="A695" s="51">
        <v>1.484</v>
      </c>
      <c r="B695" s="52">
        <v>8387.8171000000002</v>
      </c>
      <c r="C695" s="52">
        <v>766.41539999999998</v>
      </c>
      <c r="D695" s="52">
        <v>383.20769999999999</v>
      </c>
      <c r="E695" s="52">
        <v>383.20769999999999</v>
      </c>
      <c r="F695" s="52">
        <v>1532.8308</v>
      </c>
      <c r="G695" s="52">
        <v>766.41539999999998</v>
      </c>
      <c r="H695" s="52">
        <v>766.41539999999998</v>
      </c>
      <c r="I695" s="52">
        <v>1532.8308</v>
      </c>
      <c r="J695" s="52">
        <v>376.08229999999998</v>
      </c>
      <c r="K695" s="52">
        <v>1128.2470000000001</v>
      </c>
      <c r="L695" s="52">
        <v>376.08229999999998</v>
      </c>
      <c r="M695" s="52">
        <v>376.08229999999998</v>
      </c>
      <c r="N695" s="5" t="s">
        <v>69</v>
      </c>
    </row>
    <row r="696" spans="1:14" x14ac:dyDescent="0.25">
      <c r="A696" s="51">
        <v>1.4850000000000001</v>
      </c>
      <c r="B696" s="52">
        <v>8391.9488000000001</v>
      </c>
      <c r="C696" s="52">
        <v>766.93179999999995</v>
      </c>
      <c r="D696" s="52">
        <v>383.46589999999998</v>
      </c>
      <c r="E696" s="52">
        <v>383.46589999999998</v>
      </c>
      <c r="F696" s="52">
        <v>1533.8637000000001</v>
      </c>
      <c r="G696" s="52">
        <v>766.93179999999995</v>
      </c>
      <c r="H696" s="52">
        <v>766.93179999999995</v>
      </c>
      <c r="I696" s="52">
        <v>1533.8637000000001</v>
      </c>
      <c r="J696" s="52">
        <v>376.08229999999998</v>
      </c>
      <c r="K696" s="52">
        <v>1128.2470000000001</v>
      </c>
      <c r="L696" s="52">
        <v>376.08229999999998</v>
      </c>
      <c r="M696" s="52">
        <v>376.08229999999998</v>
      </c>
      <c r="N696" s="5" t="s">
        <v>69</v>
      </c>
    </row>
    <row r="697" spans="1:14" x14ac:dyDescent="0.25">
      <c r="A697" s="51">
        <v>1.486</v>
      </c>
      <c r="B697" s="52">
        <v>8396.0804000000007</v>
      </c>
      <c r="C697" s="52">
        <v>767.44830000000002</v>
      </c>
      <c r="D697" s="52">
        <v>383.72410000000002</v>
      </c>
      <c r="E697" s="52">
        <v>383.72410000000002</v>
      </c>
      <c r="F697" s="52">
        <v>1534.8966</v>
      </c>
      <c r="G697" s="52">
        <v>767.44830000000002</v>
      </c>
      <c r="H697" s="52">
        <v>767.44830000000002</v>
      </c>
      <c r="I697" s="52">
        <v>1534.8966</v>
      </c>
      <c r="J697" s="52">
        <v>376.08229999999998</v>
      </c>
      <c r="K697" s="52">
        <v>1128.2470000000001</v>
      </c>
      <c r="L697" s="52">
        <v>376.08229999999998</v>
      </c>
      <c r="M697" s="52">
        <v>376.08229999999998</v>
      </c>
      <c r="N697" s="5" t="s">
        <v>69</v>
      </c>
    </row>
    <row r="698" spans="1:14" x14ac:dyDescent="0.25">
      <c r="A698" s="51">
        <v>1.4870000000000001</v>
      </c>
      <c r="B698" s="52">
        <v>8400.2119999999995</v>
      </c>
      <c r="C698" s="52">
        <v>767.96479999999997</v>
      </c>
      <c r="D698" s="52">
        <v>383.98239999999998</v>
      </c>
      <c r="E698" s="52">
        <v>383.98239999999998</v>
      </c>
      <c r="F698" s="52">
        <v>1535.9295</v>
      </c>
      <c r="G698" s="52">
        <v>767.96479999999997</v>
      </c>
      <c r="H698" s="52">
        <v>767.96479999999997</v>
      </c>
      <c r="I698" s="52">
        <v>1535.9295</v>
      </c>
      <c r="J698" s="52">
        <v>376.08229999999998</v>
      </c>
      <c r="K698" s="52">
        <v>1128.2470000000001</v>
      </c>
      <c r="L698" s="52">
        <v>376.08229999999998</v>
      </c>
      <c r="M698" s="52">
        <v>376.08229999999998</v>
      </c>
      <c r="N698" s="5" t="s">
        <v>69</v>
      </c>
    </row>
    <row r="699" spans="1:14" x14ac:dyDescent="0.25">
      <c r="A699" s="51">
        <v>1.488</v>
      </c>
      <c r="B699" s="52">
        <v>8404.3436000000002</v>
      </c>
      <c r="C699" s="52">
        <v>768.48119999999994</v>
      </c>
      <c r="D699" s="52">
        <v>384.24059999999997</v>
      </c>
      <c r="E699" s="52">
        <v>384.24059999999997</v>
      </c>
      <c r="F699" s="52">
        <v>1536.9623999999999</v>
      </c>
      <c r="G699" s="52">
        <v>768.48119999999994</v>
      </c>
      <c r="H699" s="52">
        <v>768.48119999999994</v>
      </c>
      <c r="I699" s="52">
        <v>1536.9623999999999</v>
      </c>
      <c r="J699" s="52">
        <v>376.08229999999998</v>
      </c>
      <c r="K699" s="52">
        <v>1128.2470000000001</v>
      </c>
      <c r="L699" s="52">
        <v>376.08229999999998</v>
      </c>
      <c r="M699" s="52">
        <v>376.08229999999998</v>
      </c>
      <c r="N699" s="5" t="s">
        <v>69</v>
      </c>
    </row>
    <row r="700" spans="1:14" x14ac:dyDescent="0.25">
      <c r="A700" s="51">
        <v>1.4890000000000001</v>
      </c>
      <c r="B700" s="52">
        <v>8408.4752000000008</v>
      </c>
      <c r="C700" s="52">
        <v>768.99770000000001</v>
      </c>
      <c r="D700" s="52">
        <v>384.49880000000002</v>
      </c>
      <c r="E700" s="52">
        <v>384.49880000000002</v>
      </c>
      <c r="F700" s="52">
        <v>1537.9953</v>
      </c>
      <c r="G700" s="52">
        <v>768.99770000000001</v>
      </c>
      <c r="H700" s="52">
        <v>768.99770000000001</v>
      </c>
      <c r="I700" s="52">
        <v>1537.9953</v>
      </c>
      <c r="J700" s="52">
        <v>376.08229999999998</v>
      </c>
      <c r="K700" s="52">
        <v>1128.2470000000001</v>
      </c>
      <c r="L700" s="52">
        <v>376.08229999999998</v>
      </c>
      <c r="M700" s="52">
        <v>376.08229999999998</v>
      </c>
      <c r="N700" s="5" t="s">
        <v>69</v>
      </c>
    </row>
    <row r="701" spans="1:14" x14ac:dyDescent="0.25">
      <c r="A701" s="51">
        <v>1.49</v>
      </c>
      <c r="B701" s="52">
        <v>8412.6069000000007</v>
      </c>
      <c r="C701" s="52">
        <v>769.51409999999998</v>
      </c>
      <c r="D701" s="52">
        <v>384.75709999999998</v>
      </c>
      <c r="E701" s="52">
        <v>384.75709999999998</v>
      </c>
      <c r="F701" s="52">
        <v>1539.0282</v>
      </c>
      <c r="G701" s="52">
        <v>769.51409999999998</v>
      </c>
      <c r="H701" s="52">
        <v>769.51409999999998</v>
      </c>
      <c r="I701" s="52">
        <v>1539.0282</v>
      </c>
      <c r="J701" s="52">
        <v>376.08229999999998</v>
      </c>
      <c r="K701" s="52">
        <v>1128.2470000000001</v>
      </c>
      <c r="L701" s="52">
        <v>376.08229999999998</v>
      </c>
      <c r="M701" s="52">
        <v>376.08229999999998</v>
      </c>
      <c r="N701" s="5" t="s">
        <v>69</v>
      </c>
    </row>
    <row r="702" spans="1:14" x14ac:dyDescent="0.25">
      <c r="A702" s="51">
        <v>1.4910000000000001</v>
      </c>
      <c r="B702" s="52">
        <v>8416.7384999999995</v>
      </c>
      <c r="C702" s="52">
        <v>770.03060000000005</v>
      </c>
      <c r="D702" s="52">
        <v>385.01530000000002</v>
      </c>
      <c r="E702" s="52">
        <v>385.01530000000002</v>
      </c>
      <c r="F702" s="52">
        <v>1540.0610999999999</v>
      </c>
      <c r="G702" s="52">
        <v>770.03060000000005</v>
      </c>
      <c r="H702" s="52">
        <v>770.03060000000005</v>
      </c>
      <c r="I702" s="52">
        <v>1540.0610999999999</v>
      </c>
      <c r="J702" s="52">
        <v>376.08229999999998</v>
      </c>
      <c r="K702" s="52">
        <v>1128.2470000000001</v>
      </c>
      <c r="L702" s="52">
        <v>376.08229999999998</v>
      </c>
      <c r="M702" s="52">
        <v>376.08229999999998</v>
      </c>
      <c r="N702" s="5" t="s">
        <v>69</v>
      </c>
    </row>
    <row r="703" spans="1:14" x14ac:dyDescent="0.25">
      <c r="A703" s="51">
        <v>1.492</v>
      </c>
      <c r="B703" s="52">
        <v>8420.8701000000001</v>
      </c>
      <c r="C703" s="52">
        <v>770.54700000000003</v>
      </c>
      <c r="D703" s="52">
        <v>385.27350000000001</v>
      </c>
      <c r="E703" s="52">
        <v>385.27350000000001</v>
      </c>
      <c r="F703" s="52">
        <v>1541.0940000000001</v>
      </c>
      <c r="G703" s="52">
        <v>770.54700000000003</v>
      </c>
      <c r="H703" s="52">
        <v>770.54700000000003</v>
      </c>
      <c r="I703" s="52">
        <v>1541.0940000000001</v>
      </c>
      <c r="J703" s="52">
        <v>376.08229999999998</v>
      </c>
      <c r="K703" s="52">
        <v>1128.2470000000001</v>
      </c>
      <c r="L703" s="52">
        <v>376.08229999999998</v>
      </c>
      <c r="M703" s="52">
        <v>376.08229999999998</v>
      </c>
      <c r="N703" s="5" t="s">
        <v>69</v>
      </c>
    </row>
    <row r="704" spans="1:14" x14ac:dyDescent="0.25">
      <c r="A704" s="51">
        <v>1.4930000000000001</v>
      </c>
      <c r="B704" s="52">
        <v>8425.0017000000007</v>
      </c>
      <c r="C704" s="52">
        <v>771.06349999999998</v>
      </c>
      <c r="D704" s="52">
        <v>385.5317</v>
      </c>
      <c r="E704" s="52">
        <v>385.5317</v>
      </c>
      <c r="F704" s="52">
        <v>1542.1269</v>
      </c>
      <c r="G704" s="52">
        <v>771.06349999999998</v>
      </c>
      <c r="H704" s="52">
        <v>771.06349999999998</v>
      </c>
      <c r="I704" s="52">
        <v>1542.1269</v>
      </c>
      <c r="J704" s="52">
        <v>376.08229999999998</v>
      </c>
      <c r="K704" s="52">
        <v>1128.2470000000001</v>
      </c>
      <c r="L704" s="52">
        <v>376.08229999999998</v>
      </c>
      <c r="M704" s="52">
        <v>376.08229999999998</v>
      </c>
      <c r="N704" s="5" t="s">
        <v>69</v>
      </c>
    </row>
    <row r="705" spans="1:14" x14ac:dyDescent="0.25">
      <c r="A705" s="51">
        <v>1.494</v>
      </c>
      <c r="B705" s="52">
        <v>8429.1332999999995</v>
      </c>
      <c r="C705" s="52">
        <v>771.57989999999995</v>
      </c>
      <c r="D705" s="52">
        <v>385.79</v>
      </c>
      <c r="E705" s="52">
        <v>385.79</v>
      </c>
      <c r="F705" s="52">
        <v>1543.1597999999999</v>
      </c>
      <c r="G705" s="52">
        <v>771.57989999999995</v>
      </c>
      <c r="H705" s="52">
        <v>771.57989999999995</v>
      </c>
      <c r="I705" s="52">
        <v>1543.1597999999999</v>
      </c>
      <c r="J705" s="52">
        <v>376.08229999999998</v>
      </c>
      <c r="K705" s="52">
        <v>1128.2470000000001</v>
      </c>
      <c r="L705" s="52">
        <v>376.08229999999998</v>
      </c>
      <c r="M705" s="52">
        <v>376.08229999999998</v>
      </c>
      <c r="N705" s="5" t="s">
        <v>69</v>
      </c>
    </row>
    <row r="706" spans="1:14" x14ac:dyDescent="0.25">
      <c r="A706" s="51">
        <v>1.4950000000000001</v>
      </c>
      <c r="B706" s="52">
        <v>8433.2649999999994</v>
      </c>
      <c r="C706" s="52">
        <v>772.09640000000002</v>
      </c>
      <c r="D706" s="52">
        <v>386.04820000000001</v>
      </c>
      <c r="E706" s="52">
        <v>386.04820000000001</v>
      </c>
      <c r="F706" s="52">
        <v>1544.1927000000001</v>
      </c>
      <c r="G706" s="52">
        <v>772.09640000000002</v>
      </c>
      <c r="H706" s="52">
        <v>772.09640000000002</v>
      </c>
      <c r="I706" s="52">
        <v>1544.1927000000001</v>
      </c>
      <c r="J706" s="52">
        <v>376.08229999999998</v>
      </c>
      <c r="K706" s="52">
        <v>1128.2470000000001</v>
      </c>
      <c r="L706" s="52">
        <v>376.08229999999998</v>
      </c>
      <c r="M706" s="52">
        <v>376.08229999999998</v>
      </c>
      <c r="N706" s="5" t="s">
        <v>69</v>
      </c>
    </row>
    <row r="707" spans="1:14" x14ac:dyDescent="0.25">
      <c r="A707" s="51">
        <v>1.496</v>
      </c>
      <c r="B707" s="52">
        <v>8437.3966</v>
      </c>
      <c r="C707" s="52">
        <v>772.61279999999999</v>
      </c>
      <c r="D707" s="52">
        <v>386.3064</v>
      </c>
      <c r="E707" s="52">
        <v>386.3064</v>
      </c>
      <c r="F707" s="52">
        <v>1545.2256</v>
      </c>
      <c r="G707" s="52">
        <v>772.61279999999999</v>
      </c>
      <c r="H707" s="52">
        <v>772.61279999999999</v>
      </c>
      <c r="I707" s="52">
        <v>1545.2256</v>
      </c>
      <c r="J707" s="52">
        <v>376.08229999999998</v>
      </c>
      <c r="K707" s="52">
        <v>1128.2470000000001</v>
      </c>
      <c r="L707" s="52">
        <v>376.08229999999998</v>
      </c>
      <c r="M707" s="52">
        <v>376.08229999999998</v>
      </c>
      <c r="N707" s="5" t="s">
        <v>69</v>
      </c>
    </row>
    <row r="708" spans="1:14" x14ac:dyDescent="0.25">
      <c r="A708" s="51">
        <v>1.4970000000000001</v>
      </c>
      <c r="B708" s="52">
        <v>8441.5282000000007</v>
      </c>
      <c r="C708" s="52">
        <v>773.12929999999994</v>
      </c>
      <c r="D708" s="52">
        <v>386.56459999999998</v>
      </c>
      <c r="E708" s="52">
        <v>386.56459999999998</v>
      </c>
      <c r="F708" s="52">
        <v>1546.2584999999999</v>
      </c>
      <c r="G708" s="52">
        <v>773.12929999999994</v>
      </c>
      <c r="H708" s="52">
        <v>773.12929999999994</v>
      </c>
      <c r="I708" s="52">
        <v>1546.2584999999999</v>
      </c>
      <c r="J708" s="52">
        <v>376.08229999999998</v>
      </c>
      <c r="K708" s="52">
        <v>1128.2470000000001</v>
      </c>
      <c r="L708" s="52">
        <v>376.08229999999998</v>
      </c>
      <c r="M708" s="52">
        <v>376.08229999999998</v>
      </c>
      <c r="N708" s="5" t="s">
        <v>69</v>
      </c>
    </row>
    <row r="709" spans="1:14" x14ac:dyDescent="0.25">
      <c r="A709" s="51">
        <v>1.498</v>
      </c>
      <c r="B709" s="52">
        <v>8445.6597999999994</v>
      </c>
      <c r="C709" s="52">
        <v>773.64570000000003</v>
      </c>
      <c r="D709" s="52">
        <v>386.8229</v>
      </c>
      <c r="E709" s="52">
        <v>386.8229</v>
      </c>
      <c r="F709" s="52">
        <v>1547.2915</v>
      </c>
      <c r="G709" s="52">
        <v>773.64570000000003</v>
      </c>
      <c r="H709" s="52">
        <v>773.64570000000003</v>
      </c>
      <c r="I709" s="52">
        <v>1547.2915</v>
      </c>
      <c r="J709" s="52">
        <v>376.08229999999998</v>
      </c>
      <c r="K709" s="52">
        <v>1128.2470000000001</v>
      </c>
      <c r="L709" s="52">
        <v>376.08229999999998</v>
      </c>
      <c r="M709" s="52">
        <v>376.08229999999998</v>
      </c>
      <c r="N709" s="5" t="s">
        <v>69</v>
      </c>
    </row>
    <row r="710" spans="1:14" x14ac:dyDescent="0.25">
      <c r="A710" s="51">
        <v>1.4990000000000001</v>
      </c>
      <c r="B710" s="52">
        <v>8449.7914000000001</v>
      </c>
      <c r="C710" s="52">
        <v>774.16219999999998</v>
      </c>
      <c r="D710" s="52">
        <v>387.08109999999999</v>
      </c>
      <c r="E710" s="52">
        <v>387.08109999999999</v>
      </c>
      <c r="F710" s="52">
        <v>1548.3244</v>
      </c>
      <c r="G710" s="52">
        <v>774.16219999999998</v>
      </c>
      <c r="H710" s="52">
        <v>774.16219999999998</v>
      </c>
      <c r="I710" s="52">
        <v>1548.3244</v>
      </c>
      <c r="J710" s="52">
        <v>376.08229999999998</v>
      </c>
      <c r="K710" s="52">
        <v>1128.2470000000001</v>
      </c>
      <c r="L710" s="52">
        <v>376.08229999999998</v>
      </c>
      <c r="M710" s="52">
        <v>376.08229999999998</v>
      </c>
      <c r="N710" s="5" t="s">
        <v>69</v>
      </c>
    </row>
    <row r="711" spans="1:14" x14ac:dyDescent="0.25">
      <c r="A711" s="51">
        <v>1.5</v>
      </c>
      <c r="B711" s="52">
        <v>8492.9006000000008</v>
      </c>
      <c r="C711" s="52">
        <v>779.55079999999998</v>
      </c>
      <c r="D711" s="52">
        <v>389.77539999999999</v>
      </c>
      <c r="E711" s="52">
        <v>389.77539999999999</v>
      </c>
      <c r="F711" s="52">
        <v>1559.1016</v>
      </c>
      <c r="G711" s="52">
        <v>779.55079999999998</v>
      </c>
      <c r="H711" s="52">
        <v>779.55079999999998</v>
      </c>
      <c r="I711" s="52">
        <v>1559.1016</v>
      </c>
      <c r="J711" s="52">
        <v>376.08229999999998</v>
      </c>
      <c r="K711" s="52">
        <v>1128.2470000000001</v>
      </c>
      <c r="L711" s="52">
        <v>376.08229999999998</v>
      </c>
      <c r="M711" s="52">
        <v>376.08229999999998</v>
      </c>
      <c r="N711" s="5" t="s">
        <v>69</v>
      </c>
    </row>
  </sheetData>
  <conditionalFormatting sqref="N6:N711">
    <cfRule type="cellIs" dxfId="17" priority="1" operator="equal">
      <formula>"Erro"</formula>
    </cfRule>
    <cfRule type="cellIs" dxfId="16" priority="2" operator="equal">
      <formula>"OK"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501451DF3505243A228614F59E741BF" ma:contentTypeVersion="13" ma:contentTypeDescription="Crie um novo documento." ma:contentTypeScope="" ma:versionID="8f4d9f891d3556e94b4b811518e44786">
  <xsd:schema xmlns:xsd="http://www.w3.org/2001/XMLSchema" xmlns:xs="http://www.w3.org/2001/XMLSchema" xmlns:p="http://schemas.microsoft.com/office/2006/metadata/properties" xmlns:ns3="896fe6eb-5f29-4571-a8a6-59d7a5302ed0" xmlns:ns4="d9082921-9335-4357-a717-920ec1340a82" targetNamespace="http://schemas.microsoft.com/office/2006/metadata/properties" ma:root="true" ma:fieldsID="2a943cba22b26cb1d1e480aa36283277" ns3:_="" ns4:_="">
    <xsd:import namespace="896fe6eb-5f29-4571-a8a6-59d7a5302ed0"/>
    <xsd:import namespace="d9082921-9335-4357-a717-920ec1340a8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6fe6eb-5f29-4571-a8a6-59d7a5302ed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082921-9335-4357-a717-920ec1340a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6.xml>��
</file>

<file path=customXml/item37.xml>��
</file>

<file path=customXml/itemProps1.xml><?xml version="1.0" encoding="utf-8"?>
<ds:datastoreItem xmlns:ds="http://schemas.openxmlformats.org/officeDocument/2006/customXml" ds:itemID="{04E45510-8597-4F3D-B183-A1BA84A65CA6}">
  <ds:schemaRefs/>
</ds:datastoreItem>
</file>

<file path=customXml/itemProps2.xml><?xml version="1.0" encoding="utf-8"?>
<ds:datastoreItem xmlns:ds="http://schemas.openxmlformats.org/officeDocument/2006/customXml" ds:itemID="{E0FC79A2-4C31-4E15-AAD3-E74EA3D78890}">
  <ds:schemaRefs/>
</ds:datastoreItem>
</file>

<file path=customXml/itemProps3.xml><?xml version="1.0" encoding="utf-8"?>
<ds:datastoreItem xmlns:ds="http://schemas.openxmlformats.org/officeDocument/2006/customXml" ds:itemID="{3C764F28-9B2E-466C-B023-E38DD4F939F5}">
  <ds:schemaRefs/>
</ds:datastoreItem>
</file>

<file path=customXml/itemProps4.xml><?xml version="1.0" encoding="utf-8"?>
<ds:datastoreItem xmlns:ds="http://schemas.openxmlformats.org/officeDocument/2006/customXml" ds:itemID="{07825164-A6EC-4658-A2B1-A866D899DC20}">
  <ds:schemaRefs/>
</ds:datastoreItem>
</file>

<file path=customXml/itemProps5.xml><?xml version="1.0" encoding="utf-8"?>
<ds:datastoreItem xmlns:ds="http://schemas.openxmlformats.org/officeDocument/2006/customXml" ds:itemID="{2A534323-3C5B-4854-961C-C161839E7E90}">
  <ds:schemaRefs/>
</ds:datastoreItem>
</file>

<file path=customXml/itemProps6.xml><?xml version="1.0" encoding="utf-8"?>
<ds:datastoreItem xmlns:ds="http://schemas.openxmlformats.org/officeDocument/2006/customXml" ds:itemID="{9FB70DFF-FFBB-4B4D-A7D8-ADE7386B4D4B}">
  <ds:schemaRefs/>
</ds:datastoreItem>
</file>

<file path=customXml/itemProps7.xml><?xml version="1.0" encoding="utf-8"?>
<ds:datastoreItem xmlns:ds="http://schemas.openxmlformats.org/officeDocument/2006/customXml" ds:itemID="{46897C4F-7870-4439-968B-3B956B318516}">
  <ds:schemaRefs/>
</ds:datastoreItem>
</file>

<file path=customXml/itemProps8.xml><?xml version="1.0" encoding="utf-8"?>
<ds:datastoreItem xmlns:ds="http://schemas.openxmlformats.org/officeDocument/2006/customXml" ds:itemID="{BAEB8121-C190-40AD-812A-46AD0CFE8B86}">
  <ds:schemaRefs/>
</ds:datastoreItem>
</file>

<file path=customXml/itemProps9.xml><?xml version="1.0" encoding="utf-8"?>
<ds:datastoreItem xmlns:ds="http://schemas.openxmlformats.org/officeDocument/2006/customXml" ds:itemID="{E7BBA8A5-2FB8-4646-9087-2C605EF52AE2}">
  <ds:schemaRefs/>
</ds:datastoreItem>
</file>

<file path=customXml/itemProps10.xml><?xml version="1.0" encoding="utf-8"?>
<ds:datastoreItem xmlns:ds="http://schemas.openxmlformats.org/officeDocument/2006/customXml" ds:itemID="{AC7465EF-67ED-46CB-BBF4-318D5B853D6F}">
  <ds:schemaRefs/>
</ds:datastoreItem>
</file>

<file path=customXml/itemProps11.xml><?xml version="1.0" encoding="utf-8"?>
<ds:datastoreItem xmlns:ds="http://schemas.openxmlformats.org/officeDocument/2006/customXml" ds:itemID="{23E15918-AE85-401D-94BD-83EDC4056559}">
  <ds:schemaRefs/>
</ds:datastoreItem>
</file>

<file path=customXml/itemProps12.xml><?xml version="1.0" encoding="utf-8"?>
<ds:datastoreItem xmlns:ds="http://schemas.openxmlformats.org/officeDocument/2006/customXml" ds:itemID="{C9FFFF30-5371-46A3-8C5E-302EE029608C}">
  <ds:schemaRefs/>
</ds:datastoreItem>
</file>

<file path=customXml/itemProps13.xml><?xml version="1.0" encoding="utf-8"?>
<ds:datastoreItem xmlns:ds="http://schemas.openxmlformats.org/officeDocument/2006/customXml" ds:itemID="{4BCEA070-D58B-4DF0-9F37-DF8470EF35A2}">
  <ds:schemaRefs/>
</ds:datastoreItem>
</file>

<file path=customXml/itemProps14.xml><?xml version="1.0" encoding="utf-8"?>
<ds:datastoreItem xmlns:ds="http://schemas.openxmlformats.org/officeDocument/2006/customXml" ds:itemID="{55636411-44A7-4B91-B2F5-3E1C95C7A710}">
  <ds:schemaRefs/>
</ds:datastoreItem>
</file>

<file path=customXml/itemProps15.xml><?xml version="1.0" encoding="utf-8"?>
<ds:datastoreItem xmlns:ds="http://schemas.openxmlformats.org/officeDocument/2006/customXml" ds:itemID="{5AE0E88F-7D48-46FC-9E38-078AEE3FB37D}">
  <ds:schemaRefs/>
</ds:datastoreItem>
</file>

<file path=customXml/itemProps16.xml><?xml version="1.0" encoding="utf-8"?>
<ds:datastoreItem xmlns:ds="http://schemas.openxmlformats.org/officeDocument/2006/customXml" ds:itemID="{86DED3BF-05A9-4346-B732-C8AF92466D55}">
  <ds:schemaRefs/>
</ds:datastoreItem>
</file>

<file path=customXml/itemProps17.xml><?xml version="1.0" encoding="utf-8"?>
<ds:datastoreItem xmlns:ds="http://schemas.openxmlformats.org/officeDocument/2006/customXml" ds:itemID="{547628BE-F7D8-44F1-B71E-42AD649B4199}">
  <ds:schemaRefs/>
</ds:datastoreItem>
</file>

<file path=customXml/itemProps18.xml><?xml version="1.0" encoding="utf-8"?>
<ds:datastoreItem xmlns:ds="http://schemas.openxmlformats.org/officeDocument/2006/customXml" ds:itemID="{E9519166-6F9C-41B1-A7A1-66E29A9502B6}">
  <ds:schemaRefs/>
</ds:datastoreItem>
</file>

<file path=customXml/itemProps19.xml><?xml version="1.0" encoding="utf-8"?>
<ds:datastoreItem xmlns:ds="http://schemas.openxmlformats.org/officeDocument/2006/customXml" ds:itemID="{8CBA4D21-8642-42E8-82A9-869A072CE620}">
  <ds:schemaRefs/>
</ds:datastoreItem>
</file>

<file path=customXml/itemProps20.xml><?xml version="1.0" encoding="utf-8"?>
<ds:datastoreItem xmlns:ds="http://schemas.openxmlformats.org/officeDocument/2006/customXml" ds:itemID="{12933F74-17FE-44AC-91BD-8726852403D0}">
  <ds:schemaRefs/>
</ds:datastoreItem>
</file>

<file path=customXml/itemProps21.xml><?xml version="1.0" encoding="utf-8"?>
<ds:datastoreItem xmlns:ds="http://schemas.openxmlformats.org/officeDocument/2006/customXml" ds:itemID="{D05BDE02-EA6B-4D99-A179-BBA5A26B7AEF}">
  <ds:schemaRefs/>
</ds:datastoreItem>
</file>

<file path=customXml/itemProps22.xml><?xml version="1.0" encoding="utf-8"?>
<ds:datastoreItem xmlns:ds="http://schemas.openxmlformats.org/officeDocument/2006/customXml" ds:itemID="{FF6F3603-B724-4BC4-A460-4E9000C56E2F}">
  <ds:schemaRefs/>
</ds:datastoreItem>
</file>

<file path=customXml/itemProps23.xml><?xml version="1.0" encoding="utf-8"?>
<ds:datastoreItem xmlns:ds="http://schemas.openxmlformats.org/officeDocument/2006/customXml" ds:itemID="{E2F661EC-C62B-4589-894E-0290AEEB123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4.xml><?xml version="1.0" encoding="utf-8"?>
<ds:datastoreItem xmlns:ds="http://schemas.openxmlformats.org/officeDocument/2006/customXml" ds:itemID="{A391DDBC-E655-4543-A760-08EC6551131B}">
  <ds:schemaRefs/>
</ds:datastoreItem>
</file>

<file path=customXml/itemProps25.xml><?xml version="1.0" encoding="utf-8"?>
<ds:datastoreItem xmlns:ds="http://schemas.openxmlformats.org/officeDocument/2006/customXml" ds:itemID="{A636A477-551A-4842-9A33-03D4F6C4B854}">
  <ds:schemaRefs/>
</ds:datastoreItem>
</file>

<file path=customXml/itemProps26.xml><?xml version="1.0" encoding="utf-8"?>
<ds:datastoreItem xmlns:ds="http://schemas.openxmlformats.org/officeDocument/2006/customXml" ds:itemID="{D8224037-E383-406C-9484-348E7DF4FD11}">
  <ds:schemaRefs/>
</ds:datastoreItem>
</file>

<file path=customXml/itemProps27.xml><?xml version="1.0" encoding="utf-8"?>
<ds:datastoreItem xmlns:ds="http://schemas.openxmlformats.org/officeDocument/2006/customXml" ds:itemID="{A143F666-F01D-489A-9211-280B22EA86B9}">
  <ds:schemaRefs/>
</ds:datastoreItem>
</file>

<file path=customXml/itemProps28.xml><?xml version="1.0" encoding="utf-8"?>
<ds:datastoreItem xmlns:ds="http://schemas.openxmlformats.org/officeDocument/2006/customXml" ds:itemID="{6B215FCC-45A2-45D6-A116-0D283ACEC800}">
  <ds:schemaRefs/>
</ds:datastoreItem>
</file>

<file path=customXml/itemProps29.xml><?xml version="1.0" encoding="utf-8"?>
<ds:datastoreItem xmlns:ds="http://schemas.openxmlformats.org/officeDocument/2006/customXml" ds:itemID="{FE44C807-50B3-441E-9EDB-0D268EBD12E2}">
  <ds:schemaRefs>
    <ds:schemaRef ds:uri="http://schemas.microsoft.com/sharepoint/v3/contenttype/forms"/>
  </ds:schemaRefs>
</ds:datastoreItem>
</file>

<file path=customXml/itemProps30.xml><?xml version="1.0" encoding="utf-8"?>
<ds:datastoreItem xmlns:ds="http://schemas.openxmlformats.org/officeDocument/2006/customXml" ds:itemID="{366CC9CA-8EF1-4B7E-AF09-5F720911AFC4}">
  <ds:schemaRefs/>
</ds:datastoreItem>
</file>

<file path=customXml/itemProps31.xml><?xml version="1.0" encoding="utf-8"?>
<ds:datastoreItem xmlns:ds="http://schemas.openxmlformats.org/officeDocument/2006/customXml" ds:itemID="{A3457496-0C10-41B7-ACB9-E74E713C7CB4}">
  <ds:schemaRefs/>
</ds:datastoreItem>
</file>

<file path=customXml/itemProps32.xml><?xml version="1.0" encoding="utf-8"?>
<ds:datastoreItem xmlns:ds="http://schemas.openxmlformats.org/officeDocument/2006/customXml" ds:itemID="{0A4E716F-6407-4815-8559-55116CD22888}">
  <ds:schemaRefs/>
</ds:datastoreItem>
</file>

<file path=customXml/itemProps33.xml><?xml version="1.0" encoding="utf-8"?>
<ds:datastoreItem xmlns:ds="http://schemas.openxmlformats.org/officeDocument/2006/customXml" ds:itemID="{67D8F2A3-ABD0-414E-B733-239322DE7CC6}">
  <ds:schemaRefs/>
</ds:datastoreItem>
</file>

<file path=customXml/itemProps34.xml><?xml version="1.0" encoding="utf-8"?>
<ds:datastoreItem xmlns:ds="http://schemas.openxmlformats.org/officeDocument/2006/customXml" ds:itemID="{D966E6F3-016F-4875-B28E-F0D5783367F0}">
  <ds:schemaRefs/>
</ds:datastoreItem>
</file>

<file path=customXml/itemProps35.xml><?xml version="1.0" encoding="utf-8"?>
<ds:datastoreItem xmlns:ds="http://schemas.openxmlformats.org/officeDocument/2006/customXml" ds:itemID="{CF6368E3-452D-48F6-9119-FBABF3E3C7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96fe6eb-5f29-4571-a8a6-59d7a5302ed0"/>
    <ds:schemaRef ds:uri="d9082921-9335-4357-a717-920ec1340a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6.xml><?xml version="1.0" encoding="utf-8"?>
<ds:datastoreItem xmlns:ds="http://schemas.openxmlformats.org/officeDocument/2006/customXml" ds:itemID="{F2B93E7F-2F19-4DF6-A4DA-647D6DA3B5D4}">
  <ds:schemaRefs>
    <ds:schemaRef ds:uri="http://schemas.microsoft.com/DataMashup"/>
  </ds:schemaRefs>
</ds:datastoreItem>
</file>

<file path=customXml/itemProps37.xml><?xml version="1.0" encoding="utf-8"?>
<ds:datastoreItem xmlns:ds="http://schemas.openxmlformats.org/officeDocument/2006/customXml" ds:itemID="{36C7EBD9-675E-4D7B-B052-95551438CC3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22</vt:i4>
      </vt:variant>
      <vt:variant>
        <vt:lpstr>Intervalos Nomeados</vt:lpstr>
      </vt:variant>
      <vt:variant>
        <vt:i4>6</vt:i4>
      </vt:variant>
    </vt:vector>
  </HeadingPairs>
  <TitlesOfParts>
    <vt:vector size="28" baseType="lpstr">
      <vt:lpstr>Config</vt:lpstr>
      <vt:lpstr>Resumo Pagamento</vt:lpstr>
      <vt:lpstr>Gerentes-IV</vt:lpstr>
      <vt:lpstr>Representantes ESP</vt:lpstr>
      <vt:lpstr>Representantes-IV</vt:lpstr>
      <vt:lpstr>Demonstrativo Gerente</vt:lpstr>
      <vt:lpstr>Demonstrativo REP HSP</vt:lpstr>
      <vt:lpstr>Demonstrativo REP ESP</vt:lpstr>
      <vt:lpstr>Planilha1</vt:lpstr>
      <vt:lpstr>Demonstrativo REP EMH</vt:lpstr>
      <vt:lpstr>Datas</vt:lpstr>
      <vt:lpstr>Produtos Linhas</vt:lpstr>
      <vt:lpstr>Cota-Demanda</vt:lpstr>
      <vt:lpstr>Demanda-IV-REP</vt:lpstr>
      <vt:lpstr>Demanda-IV-GR</vt:lpstr>
      <vt:lpstr>Cota-Venda</vt:lpstr>
      <vt:lpstr>Venda</vt:lpstr>
      <vt:lpstr>Visitas-Outros</vt:lpstr>
      <vt:lpstr>Valores-Gerentes</vt:lpstr>
      <vt:lpstr>Valores-Representantes-ESP</vt:lpstr>
      <vt:lpstr>Valores-Representantes-HSP</vt:lpstr>
      <vt:lpstr>Valores-Representantes-EMH</vt:lpstr>
      <vt:lpstr>Cobertura_Minima_Gerente</vt:lpstr>
      <vt:lpstr>Cobertura_Minima_REP</vt:lpstr>
      <vt:lpstr>Garantido_EMH</vt:lpstr>
      <vt:lpstr>Garantido_ESP</vt:lpstr>
      <vt:lpstr>Garantido_Gerentes</vt:lpstr>
      <vt:lpstr>Garantido_HSP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Waldomiro Barbosa</dc:creator>
  <cp:lastModifiedBy>Miro</cp:lastModifiedBy>
  <dcterms:created xsi:type="dcterms:W3CDTF">2020-08-14T17:25:41Z</dcterms:created>
  <dcterms:modified xsi:type="dcterms:W3CDTF">2021-05-03T18:56:38Z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0x0101000501451DF3505243A228614F59E741BF</vt:lpwstr>
  </property>
</Properties>
</file>